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Population " sheetId="1" r:id="rId1"/>
    <sheet name="Budget" sheetId="2" r:id="rId2"/>
    <sheet name="Coût 16" sheetId="3" r:id="rId3"/>
    <sheet name="coût 20" sheetId="4" r:id="rId4"/>
    <sheet name="Réductions" sheetId="5" r:id="rId5"/>
    <sheet name="infra" sheetId="6" r:id="rId6"/>
  </sheets>
  <externalReferences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D16" i="2" l="1"/>
  <c r="D17" i="2"/>
  <c r="C17" i="2"/>
  <c r="C16" i="2"/>
  <c r="C11" i="6"/>
  <c r="C19" i="2"/>
  <c r="D19" i="2"/>
  <c r="D21" i="2" s="1"/>
  <c r="G10" i="2"/>
  <c r="H7" i="5" l="1"/>
  <c r="H8" i="5"/>
  <c r="H9" i="5"/>
  <c r="H10" i="5"/>
  <c r="H11" i="5" s="1"/>
  <c r="H12" i="5" s="1"/>
  <c r="H13" i="5" s="1"/>
  <c r="H14" i="5" s="1"/>
  <c r="H15" i="5" s="1"/>
  <c r="H16" i="5" s="1"/>
  <c r="H17" i="5" s="1"/>
  <c r="H6" i="5"/>
  <c r="E8" i="5"/>
  <c r="E9" i="5"/>
  <c r="E10" i="5" s="1"/>
  <c r="E11" i="5" s="1"/>
  <c r="E12" i="5" s="1"/>
  <c r="E13" i="5" s="1"/>
  <c r="E14" i="5" s="1"/>
  <c r="E15" i="5" s="1"/>
  <c r="E16" i="5" s="1"/>
  <c r="E17" i="5" s="1"/>
  <c r="E7" i="5"/>
  <c r="E6" i="5"/>
  <c r="B5" i="3"/>
  <c r="B4" i="3"/>
  <c r="J10" i="4"/>
  <c r="J11" i="4" s="1"/>
  <c r="I18" i="4"/>
  <c r="J16" i="4"/>
  <c r="J20" i="4" s="1"/>
  <c r="B16" i="4"/>
  <c r="F16" i="4" s="1"/>
  <c r="B15" i="4"/>
  <c r="F15" i="4" s="1"/>
  <c r="B14" i="4"/>
  <c r="F14" i="4" s="1"/>
  <c r="J13" i="4"/>
  <c r="J15" i="4" s="1"/>
  <c r="D12" i="4"/>
  <c r="D11" i="4"/>
  <c r="C10" i="4"/>
  <c r="B10" i="4"/>
  <c r="F10" i="4" s="1"/>
  <c r="F9" i="4"/>
  <c r="C9" i="4"/>
  <c r="C13" i="4" s="1"/>
  <c r="B9" i="4"/>
  <c r="D8" i="4"/>
  <c r="L4" i="4"/>
  <c r="L6" i="4" s="1"/>
  <c r="L8" i="4" s="1"/>
  <c r="D3" i="4"/>
  <c r="E3" i="4" s="1"/>
  <c r="C3" i="4"/>
  <c r="A2" i="4"/>
  <c r="B12" i="3"/>
  <c r="B10" i="3"/>
  <c r="D5" i="3"/>
  <c r="B11" i="3"/>
  <c r="J16" i="3"/>
  <c r="J20" i="3"/>
  <c r="B13" i="4" l="1"/>
  <c r="B5" i="4"/>
  <c r="B6" i="4" s="1"/>
  <c r="F6" i="4" s="1"/>
  <c r="F5" i="4"/>
  <c r="B4" i="4"/>
  <c r="B11" i="4"/>
  <c r="F11" i="4" s="1"/>
  <c r="D4" i="4"/>
  <c r="E4" i="4" s="1"/>
  <c r="D5" i="4"/>
  <c r="F4" i="4"/>
  <c r="B7" i="4"/>
  <c r="F7" i="4" s="1"/>
  <c r="B8" i="4"/>
  <c r="F8" i="4" s="1"/>
  <c r="F13" i="4"/>
  <c r="E5" i="4" l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B12" i="4"/>
  <c r="F12" i="4" s="1"/>
  <c r="B16" i="3"/>
  <c r="F16" i="3" s="1"/>
  <c r="B15" i="3"/>
  <c r="F15" i="3" s="1"/>
  <c r="B14" i="3"/>
  <c r="D8" i="3"/>
  <c r="C10" i="3"/>
  <c r="B9" i="3"/>
  <c r="B13" i="3"/>
  <c r="J4" i="4" l="1"/>
  <c r="F14" i="3"/>
  <c r="F13" i="3"/>
  <c r="C13" i="3"/>
  <c r="F11" i="3"/>
  <c r="F12" i="3"/>
  <c r="D12" i="3"/>
  <c r="D11" i="3"/>
  <c r="F8" i="3"/>
  <c r="F9" i="3"/>
  <c r="C9" i="3"/>
  <c r="B8" i="3"/>
  <c r="F7" i="3"/>
  <c r="B7" i="3"/>
  <c r="J15" i="3"/>
  <c r="F10" i="3" l="1"/>
  <c r="E21" i="2"/>
  <c r="L6" i="3" l="1"/>
  <c r="L8" i="3" s="1"/>
  <c r="L4" i="3"/>
  <c r="C3" i="3"/>
  <c r="B3" i="3"/>
  <c r="B3" i="4" s="1"/>
  <c r="F3" i="4" s="1"/>
  <c r="G3" i="4" s="1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F20" i="4" s="1"/>
  <c r="F21" i="4" s="1"/>
  <c r="F4" i="3"/>
  <c r="D3" i="3"/>
  <c r="E3" i="3" s="1"/>
  <c r="E4" i="3" s="1"/>
  <c r="A2" i="3"/>
  <c r="J13" i="3"/>
  <c r="D4" i="3"/>
  <c r="J10" i="3"/>
  <c r="J11" i="3" s="1"/>
  <c r="C21" i="2"/>
  <c r="F3" i="3" l="1"/>
  <c r="F5" i="3"/>
  <c r="B6" i="3"/>
  <c r="F6" i="3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G3" i="3"/>
  <c r="G4" i="3" s="1"/>
  <c r="G5" i="3" l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F20" i="3" s="1"/>
  <c r="F21" i="3" s="1"/>
  <c r="J4" i="3"/>
  <c r="I18" i="3" l="1"/>
</calcChain>
</file>

<file path=xl/sharedStrings.xml><?xml version="1.0" encoding="utf-8"?>
<sst xmlns="http://schemas.openxmlformats.org/spreadsheetml/2006/main" count="153" uniqueCount="91">
  <si>
    <t>Diamètre</t>
  </si>
  <si>
    <t>Quantité annuelle</t>
  </si>
  <si>
    <t>Chantiers de dépose barres</t>
  </si>
  <si>
    <t>Chauffage par induction</t>
  </si>
  <si>
    <t>Revêtement graphite</t>
  </si>
  <si>
    <t>Augets de sortie en 15m long</t>
  </si>
  <si>
    <t>Table stockage barres en 15m</t>
  </si>
  <si>
    <t>Table retour vers l'entrée</t>
  </si>
  <si>
    <t>Budget k€</t>
  </si>
  <si>
    <t>TOTAL</t>
  </si>
  <si>
    <t>Génie civil</t>
  </si>
  <si>
    <t>Amenée énergies</t>
  </si>
  <si>
    <t>Outillages divers</t>
  </si>
  <si>
    <t>Rechanges critiques</t>
  </si>
  <si>
    <t>Elément de la ligne</t>
  </si>
  <si>
    <t>Tronçonneuse en ligne</t>
  </si>
  <si>
    <t>Rendement</t>
  </si>
  <si>
    <t>Rendement cumulé</t>
  </si>
  <si>
    <t>Etirage passe 2</t>
  </si>
  <si>
    <t>Nettoyage barres (grenailleuse)</t>
  </si>
  <si>
    <t>Grenaillage barres</t>
  </si>
  <si>
    <t>Traitement thermique</t>
  </si>
  <si>
    <t>Mise à longueur</t>
  </si>
  <si>
    <t>Coût matière billette</t>
  </si>
  <si>
    <t>Valorisation chutes</t>
  </si>
  <si>
    <t>€/kg</t>
  </si>
  <si>
    <t>Coût référence</t>
  </si>
  <si>
    <t>Effet productivité</t>
  </si>
  <si>
    <t>Densité M2</t>
  </si>
  <si>
    <t>Densité TA6V</t>
  </si>
  <si>
    <t>Coût opération     €/kg sorti</t>
  </si>
  <si>
    <t>Coût cumulé          €/kg sorti</t>
  </si>
  <si>
    <t>Diamètre final</t>
  </si>
  <si>
    <t>Longueur initiale</t>
  </si>
  <si>
    <t>Longueur finale</t>
  </si>
  <si>
    <t>Rendement étirage</t>
  </si>
  <si>
    <t>Rapport sections</t>
  </si>
  <si>
    <t>Allongement</t>
  </si>
  <si>
    <t>Rendement écroutage sur écrouté équivalent</t>
  </si>
  <si>
    <t>Masse finale bonne</t>
  </si>
  <si>
    <t>kg</t>
  </si>
  <si>
    <t>mm</t>
  </si>
  <si>
    <t>Longueur à étirer pour une barre finie</t>
  </si>
  <si>
    <t>Durée effective</t>
  </si>
  <si>
    <t>min</t>
  </si>
  <si>
    <t>Durée réelle</t>
  </si>
  <si>
    <t>avec TRS</t>
  </si>
  <si>
    <t>Part main d'œuvre dans le poste</t>
  </si>
  <si>
    <t>Coût horaire MO</t>
  </si>
  <si>
    <t>Coût matière barre finie</t>
  </si>
  <si>
    <t>Banc d'étirage b/b 30t / 30kW</t>
  </si>
  <si>
    <t>Manutentions diverses</t>
  </si>
  <si>
    <t>Diamètre initial laminé brut</t>
  </si>
  <si>
    <t>Taux de pannes et arrêts</t>
  </si>
  <si>
    <t>Dressage (proba à froid)</t>
  </si>
  <si>
    <t>Rectification passe 1 / 0,15mm</t>
  </si>
  <si>
    <t>Contrôle Foucault Förster2</t>
  </si>
  <si>
    <t>Consommables expédition</t>
  </si>
  <si>
    <t>Marquage, passage PF</t>
  </si>
  <si>
    <t>Laminage à chaud billette 101mm en diam 26</t>
  </si>
  <si>
    <t>Frais généraux var para barres</t>
  </si>
  <si>
    <t>Etirage passe 1  (12 barres à l'heure de marche)</t>
  </si>
  <si>
    <t>kg/m</t>
  </si>
  <si>
    <t>Rectification passe 2 et 3 / 0,10mm</t>
  </si>
  <si>
    <t>Coûts variables non répartis</t>
  </si>
  <si>
    <t xml:space="preserve">Coût direct </t>
  </si>
  <si>
    <t>Coût complet CTRY</t>
  </si>
  <si>
    <t>Fabrication soie + graphitage</t>
  </si>
  <si>
    <t>Laminage à chaud billette 101mm en diam 28</t>
  </si>
  <si>
    <t>Pas sûr que l'insonorisation soit comprise dans les 110k€</t>
  </si>
  <si>
    <t>Génie civil global</t>
  </si>
  <si>
    <t>Création poste 20kV/380V 2750kVA, TGBT et cables vers machines</t>
  </si>
  <si>
    <t>On privilégie l'option de soies laminées à chaud "de qualité" valides pour les 2 ou 3 passes de la séquence d'étirage à chaud plutôt qu'un pousseur</t>
  </si>
  <si>
    <t>Inclus dans le banc</t>
  </si>
  <si>
    <t>Puissance installée kW</t>
  </si>
  <si>
    <t xml:space="preserve">Préchauffage barres pour séchage </t>
  </si>
  <si>
    <t>Machine à faire les soies à chaud</t>
  </si>
  <si>
    <t>Sous eau avec traitement filtre et boues</t>
  </si>
  <si>
    <t>Budget prévisionnel installation Ligne d'étirage à chaud en barre à barre TA6V (hors équipements)</t>
  </si>
  <si>
    <t>Massifs machines, caniveaux, gaines…</t>
  </si>
  <si>
    <t>Alimentation électrique</t>
  </si>
  <si>
    <t>Alimentation pneumatique</t>
  </si>
  <si>
    <t>Alimentation sur équipements</t>
  </si>
  <si>
    <t>Alimentation eau refroidissement</t>
  </si>
  <si>
    <t>Tour de refroidissement, pompes, tuyauteries, équipements électrique…</t>
  </si>
  <si>
    <t>Aménagements annexes</t>
  </si>
  <si>
    <t>Déplacement 1 Presse-couronnes, 2 supports couronnes, 1 basculeur couronnes..</t>
  </si>
  <si>
    <t>Total</t>
  </si>
  <si>
    <t>Attention: Halle 26 équipée de 2 Poutres roulantes CMU=3,2T -  A voir si capacité suffisante</t>
  </si>
  <si>
    <t>Soit mécanisée et équipée pour propreté soit à la main avec chiffon et pb de propreté à générer par ailleurs</t>
  </si>
  <si>
    <t>Libération des lieux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</si>
</sst>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,\k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9" fontId="0" fillId="0" borderId="1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0" xfId="1" applyFont="1"/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6" fillId="0" borderId="13" xfId="0" applyFont="1" applyBorder="1"/>
    <xf numFmtId="0" fontId="5" fillId="0" borderId="1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0" fillId="0" borderId="7" xfId="0" applyBorder="1"/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165" fontId="6" fillId="0" borderId="27" xfId="0" applyNumberFormat="1" applyFont="1" applyBorder="1" applyAlignment="1">
      <alignment horizontal="center"/>
    </xf>
    <xf numFmtId="0" fontId="6" fillId="0" borderId="28" xfId="0" applyFont="1" applyBorder="1"/>
    <xf numFmtId="0" fontId="6" fillId="0" borderId="29" xfId="0" applyFont="1" applyBorder="1"/>
    <xf numFmtId="165" fontId="6" fillId="0" borderId="1" xfId="0" applyNumberFormat="1" applyFont="1" applyBorder="1" applyAlignment="1">
      <alignment horizontal="center"/>
    </xf>
    <xf numFmtId="0" fontId="6" fillId="0" borderId="30" xfId="0" applyFont="1" applyBorder="1"/>
    <xf numFmtId="165" fontId="6" fillId="0" borderId="31" xfId="0" applyNumberFormat="1" applyFont="1" applyBorder="1" applyAlignment="1">
      <alignment horizontal="center"/>
    </xf>
    <xf numFmtId="0" fontId="6" fillId="0" borderId="32" xfId="0" applyFont="1" applyBorder="1"/>
    <xf numFmtId="0" fontId="6" fillId="0" borderId="33" xfId="0" applyFont="1" applyBorder="1"/>
    <xf numFmtId="165" fontId="6" fillId="2" borderId="34" xfId="0" applyNumberFormat="1" applyFont="1" applyFill="1" applyBorder="1" applyAlignment="1">
      <alignment horizontal="center"/>
    </xf>
    <xf numFmtId="0" fontId="6" fillId="0" borderId="35" xfId="0" applyFont="1" applyBorder="1"/>
    <xf numFmtId="0" fontId="6" fillId="0" borderId="0" xfId="0" applyFont="1"/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0" borderId="0" xfId="0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Quantité annuelle t</a:t>
            </a:r>
          </a:p>
        </c:rich>
      </c:tx>
      <c:layout>
        <c:manualLayout>
          <c:xMode val="edge"/>
          <c:yMode val="edge"/>
          <c:x val="0.32079855643044619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002405949256337E-2"/>
          <c:y val="0.19480351414406533"/>
          <c:w val="0.85364216972878382"/>
          <c:h val="0.689216608340624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'Population '!$B$2</c:f>
              <c:strCache>
                <c:ptCount val="1"/>
                <c:pt idx="0">
                  <c:v>Quantité annuelle</c:v>
                </c:pt>
              </c:strCache>
            </c:strRef>
          </c:tx>
          <c:xVal>
            <c:numRef>
              <c:f>'Population '!$A$3:$A$25</c:f>
              <c:numCache>
                <c:formatCode>0.0</c:formatCode>
                <c:ptCount val="23"/>
                <c:pt idx="0">
                  <c:v>13.5</c:v>
                </c:pt>
                <c:pt idx="1">
                  <c:v>14</c:v>
                </c:pt>
                <c:pt idx="2">
                  <c:v>14.7</c:v>
                </c:pt>
                <c:pt idx="3">
                  <c:v>15.5</c:v>
                </c:pt>
                <c:pt idx="4">
                  <c:v>16.28</c:v>
                </c:pt>
                <c:pt idx="5">
                  <c:v>16.5</c:v>
                </c:pt>
                <c:pt idx="6">
                  <c:v>17.100000000000001</c:v>
                </c:pt>
                <c:pt idx="7">
                  <c:v>17.5</c:v>
                </c:pt>
                <c:pt idx="8">
                  <c:v>18</c:v>
                </c:pt>
                <c:pt idx="9">
                  <c:v>18.5</c:v>
                </c:pt>
                <c:pt idx="10">
                  <c:v>19.05</c:v>
                </c:pt>
                <c:pt idx="11">
                  <c:v>19.25</c:v>
                </c:pt>
                <c:pt idx="12">
                  <c:v>19.5</c:v>
                </c:pt>
                <c:pt idx="13">
                  <c:v>20</c:v>
                </c:pt>
                <c:pt idx="14">
                  <c:v>20</c:v>
                </c:pt>
                <c:pt idx="15">
                  <c:v>22.5</c:v>
                </c:pt>
                <c:pt idx="16">
                  <c:v>23.2</c:v>
                </c:pt>
                <c:pt idx="17">
                  <c:v>25</c:v>
                </c:pt>
                <c:pt idx="18">
                  <c:v>25.4</c:v>
                </c:pt>
                <c:pt idx="19">
                  <c:v>25.65</c:v>
                </c:pt>
                <c:pt idx="20">
                  <c:v>26.5</c:v>
                </c:pt>
                <c:pt idx="21">
                  <c:v>32.299999999999997</c:v>
                </c:pt>
                <c:pt idx="22">
                  <c:v>34.200000000000003</c:v>
                </c:pt>
              </c:numCache>
            </c:numRef>
          </c:xVal>
          <c:yVal>
            <c:numRef>
              <c:f>'Population '!$B$3:$B$25</c:f>
              <c:numCache>
                <c:formatCode>0.0</c:formatCode>
                <c:ptCount val="23"/>
                <c:pt idx="0">
                  <c:v>18</c:v>
                </c:pt>
                <c:pt idx="1">
                  <c:v>6</c:v>
                </c:pt>
                <c:pt idx="2">
                  <c:v>5.5</c:v>
                </c:pt>
                <c:pt idx="3">
                  <c:v>4.8</c:v>
                </c:pt>
                <c:pt idx="4">
                  <c:v>16</c:v>
                </c:pt>
                <c:pt idx="5">
                  <c:v>10</c:v>
                </c:pt>
                <c:pt idx="6">
                  <c:v>2</c:v>
                </c:pt>
                <c:pt idx="7">
                  <c:v>1.6</c:v>
                </c:pt>
                <c:pt idx="8">
                  <c:v>3.7</c:v>
                </c:pt>
                <c:pt idx="9">
                  <c:v>0.6</c:v>
                </c:pt>
                <c:pt idx="10">
                  <c:v>1.6</c:v>
                </c:pt>
                <c:pt idx="11">
                  <c:v>1.1000000000000001</c:v>
                </c:pt>
                <c:pt idx="12">
                  <c:v>2</c:v>
                </c:pt>
                <c:pt idx="13">
                  <c:v>5.6</c:v>
                </c:pt>
                <c:pt idx="14">
                  <c:v>1.1000000000000001</c:v>
                </c:pt>
                <c:pt idx="15">
                  <c:v>1.6</c:v>
                </c:pt>
                <c:pt idx="16">
                  <c:v>6.8</c:v>
                </c:pt>
                <c:pt idx="17">
                  <c:v>2.2000000000000002</c:v>
                </c:pt>
                <c:pt idx="18">
                  <c:v>1.4</c:v>
                </c:pt>
                <c:pt idx="19">
                  <c:v>7</c:v>
                </c:pt>
                <c:pt idx="20">
                  <c:v>5.6</c:v>
                </c:pt>
                <c:pt idx="21">
                  <c:v>0.6</c:v>
                </c:pt>
                <c:pt idx="22">
                  <c:v>0.6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624"/>
        <c:axId val="10012160"/>
      </c:scatterChart>
      <c:valAx>
        <c:axId val="1001062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0012160"/>
        <c:crosses val="autoZero"/>
        <c:crossBetween val="midCat"/>
      </c:valAx>
      <c:valAx>
        <c:axId val="100121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010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176212</xdr:rowOff>
    </xdr:from>
    <xdr:to>
      <xdr:col>10</xdr:col>
      <xdr:colOff>304800</xdr:colOff>
      <xdr:row>26</xdr:row>
      <xdr:rowOff>61912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phael.baret/Desktop/Co&#251;t%20de%20prod%20ronds%20de%2020%2025%2030%2045%2050%2055-Cop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phael.baret/Desktop/Temp/P-cost%20TA6V-14-16-18%20et%2020%20rect%20H8-Copi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phael.baret/Documents/Travail%20&#224;%20fa&#231;on/UKAD/Titane%20Faisabili%20(D)/Offres%20co&#251;t%20barres%20&#233;crout&#233;es/P-cost%20TA6V%20barres-%20Ctry%20diam%2014-16-18%20et%2020%20rect%20H8_RB-2011-11-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phael.baret/Documents/Travail%20&#224;%20fa&#231;on/UKAD/Titane%20Faisabili%20(D)/Offres%20co&#251;t%20barres%20&#233;crout&#233;es/P-cost%20TA6V%20barres-%20Ctry%20diam%2014-16-18%20et%2020%20rect%20H8_RB-2013-03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5 et D30 et D45"/>
      <sheetName val="D20 et D50 et D55"/>
      <sheetName val="Courbe"/>
    </sheetNames>
    <sheetDataSet>
      <sheetData sheetId="0">
        <row r="2">
          <cell r="B2">
            <v>0.18396619652808902</v>
          </cell>
          <cell r="C2">
            <v>2.2911963882618509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rectifié H8"/>
      <sheetName val="20 rectifié H8"/>
      <sheetName val="18 rectifié H8"/>
      <sheetName val="16 rectifié H8"/>
      <sheetName val="14 rectifié H8"/>
    </sheetNames>
    <sheetDataSet>
      <sheetData sheetId="0"/>
      <sheetData sheetId="1"/>
      <sheetData sheetId="2">
        <row r="2">
          <cell r="D2">
            <v>0.98199999999999998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rectifié H8"/>
      <sheetName val="20 rectifié H8"/>
      <sheetName val="18 rectifié H8"/>
      <sheetName val="16 rectifié H8"/>
      <sheetName val="14 rectifié H8"/>
    </sheetNames>
    <sheetDataSet>
      <sheetData sheetId="0"/>
      <sheetData sheetId="1"/>
      <sheetData sheetId="2"/>
      <sheetData sheetId="3">
        <row r="27">
          <cell r="B27">
            <v>0.03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rectifié H8"/>
      <sheetName val="20 rectifié H8"/>
      <sheetName val="18 rectifié H8"/>
      <sheetName val="16 rectifié H8"/>
      <sheetName val="14 rectifié H8"/>
    </sheetNames>
    <sheetDataSet>
      <sheetData sheetId="0"/>
      <sheetData sheetId="1"/>
      <sheetData sheetId="2"/>
      <sheetData sheetId="3">
        <row r="27">
          <cell r="C27">
            <v>1</v>
          </cell>
        </row>
        <row r="31">
          <cell r="B31">
            <v>3.5000000000000003E-2</v>
          </cell>
        </row>
        <row r="32">
          <cell r="B32">
            <v>9.4E-2</v>
          </cell>
        </row>
        <row r="33">
          <cell r="B33">
            <v>0.35</v>
          </cell>
          <cell r="E33">
            <v>0.76504925000000001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C34" sqref="C34"/>
    </sheetView>
  </sheetViews>
  <sheetFormatPr baseColWidth="10" defaultRowHeight="15" x14ac:dyDescent="0.25"/>
  <cols>
    <col min="2" max="2" width="17.28515625" bestFit="1" customWidth="1"/>
  </cols>
  <sheetData>
    <row r="2" spans="1:2" x14ac:dyDescent="0.25">
      <c r="A2" s="2" t="s">
        <v>0</v>
      </c>
      <c r="B2" s="2" t="s">
        <v>1</v>
      </c>
    </row>
    <row r="3" spans="1:2" x14ac:dyDescent="0.25">
      <c r="A3" s="3">
        <v>13.5</v>
      </c>
      <c r="B3" s="3">
        <v>18</v>
      </c>
    </row>
    <row r="4" spans="1:2" x14ac:dyDescent="0.25">
      <c r="A4" s="3">
        <v>14</v>
      </c>
      <c r="B4" s="3">
        <v>6</v>
      </c>
    </row>
    <row r="5" spans="1:2" x14ac:dyDescent="0.25">
      <c r="A5" s="3">
        <v>14.7</v>
      </c>
      <c r="B5" s="3">
        <v>5.5</v>
      </c>
    </row>
    <row r="6" spans="1:2" x14ac:dyDescent="0.25">
      <c r="A6" s="3">
        <v>15.5</v>
      </c>
      <c r="B6" s="3">
        <v>4.8</v>
      </c>
    </row>
    <row r="7" spans="1:2" x14ac:dyDescent="0.25">
      <c r="A7" s="3">
        <v>16.28</v>
      </c>
      <c r="B7" s="3">
        <v>16</v>
      </c>
    </row>
    <row r="8" spans="1:2" x14ac:dyDescent="0.25">
      <c r="A8" s="3">
        <v>16.5</v>
      </c>
      <c r="B8" s="3">
        <v>10</v>
      </c>
    </row>
    <row r="9" spans="1:2" x14ac:dyDescent="0.25">
      <c r="A9" s="3">
        <v>17.100000000000001</v>
      </c>
      <c r="B9" s="3">
        <v>2</v>
      </c>
    </row>
    <row r="10" spans="1:2" x14ac:dyDescent="0.25">
      <c r="A10" s="3">
        <v>17.5</v>
      </c>
      <c r="B10" s="3">
        <v>1.6</v>
      </c>
    </row>
    <row r="11" spans="1:2" x14ac:dyDescent="0.25">
      <c r="A11" s="3">
        <v>18</v>
      </c>
      <c r="B11" s="3">
        <v>3.7</v>
      </c>
    </row>
    <row r="12" spans="1:2" x14ac:dyDescent="0.25">
      <c r="A12" s="3">
        <v>18.5</v>
      </c>
      <c r="B12" s="3">
        <v>0.6</v>
      </c>
    </row>
    <row r="13" spans="1:2" x14ac:dyDescent="0.25">
      <c r="A13" s="3">
        <v>19.05</v>
      </c>
      <c r="B13" s="3">
        <v>1.6</v>
      </c>
    </row>
    <row r="14" spans="1:2" x14ac:dyDescent="0.25">
      <c r="A14" s="3">
        <v>19.25</v>
      </c>
      <c r="B14" s="3">
        <v>1.1000000000000001</v>
      </c>
    </row>
    <row r="15" spans="1:2" x14ac:dyDescent="0.25">
      <c r="A15" s="3">
        <v>19.5</v>
      </c>
      <c r="B15" s="3">
        <v>2</v>
      </c>
    </row>
    <row r="16" spans="1:2" x14ac:dyDescent="0.25">
      <c r="A16" s="3">
        <v>20</v>
      </c>
      <c r="B16" s="3">
        <v>5.6</v>
      </c>
    </row>
    <row r="17" spans="1:2" x14ac:dyDescent="0.25">
      <c r="A17" s="3">
        <v>20</v>
      </c>
      <c r="B17" s="3">
        <v>1.1000000000000001</v>
      </c>
    </row>
    <row r="18" spans="1:2" x14ac:dyDescent="0.25">
      <c r="A18" s="3">
        <v>22.5</v>
      </c>
      <c r="B18" s="3">
        <v>1.6</v>
      </c>
    </row>
    <row r="19" spans="1:2" x14ac:dyDescent="0.25">
      <c r="A19" s="3">
        <v>23.2</v>
      </c>
      <c r="B19" s="3">
        <v>6.8</v>
      </c>
    </row>
    <row r="20" spans="1:2" x14ac:dyDescent="0.25">
      <c r="A20" s="3">
        <v>25</v>
      </c>
      <c r="B20" s="3">
        <v>2.2000000000000002</v>
      </c>
    </row>
    <row r="21" spans="1:2" x14ac:dyDescent="0.25">
      <c r="A21" s="3">
        <v>25.4</v>
      </c>
      <c r="B21" s="3">
        <v>1.4</v>
      </c>
    </row>
    <row r="22" spans="1:2" x14ac:dyDescent="0.25">
      <c r="A22" s="3">
        <v>25.65</v>
      </c>
      <c r="B22" s="3">
        <v>7</v>
      </c>
    </row>
    <row r="23" spans="1:2" x14ac:dyDescent="0.25">
      <c r="A23" s="3">
        <v>26.5</v>
      </c>
      <c r="B23" s="3">
        <v>5.6</v>
      </c>
    </row>
    <row r="24" spans="1:2" x14ac:dyDescent="0.25">
      <c r="A24" s="3">
        <v>32.299999999999997</v>
      </c>
      <c r="B24" s="3">
        <v>0.6</v>
      </c>
    </row>
    <row r="25" spans="1:2" x14ac:dyDescent="0.25">
      <c r="A25" s="3">
        <v>34.200000000000003</v>
      </c>
      <c r="B25" s="3">
        <v>0.6</v>
      </c>
    </row>
  </sheetData>
  <sortState ref="A3:B26">
    <sortCondition ref="A3:A2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zoomScale="160" zoomScaleNormal="160" workbookViewId="0">
      <pane ySplit="2" topLeftCell="A3" activePane="bottomLeft" state="frozen"/>
      <selection pane="bottomLeft" activeCell="G20" sqref="G20"/>
    </sheetView>
  </sheetViews>
  <sheetFormatPr baseColWidth="10" defaultRowHeight="15" x14ac:dyDescent="0.25"/>
  <cols>
    <col min="1" max="1" width="3.140625" customWidth="1"/>
    <col min="2" max="2" width="29.5703125" bestFit="1" customWidth="1"/>
    <col min="3" max="4" width="11.42578125" style="2"/>
    <col min="5" max="5" width="21.42578125" style="25" bestFit="1" customWidth="1"/>
    <col min="6" max="6" width="3.5703125" customWidth="1"/>
    <col min="7" max="7" width="59.85546875" bestFit="1" customWidth="1"/>
  </cols>
  <sheetData>
    <row r="1" spans="2:7" ht="8.25" customHeight="1" thickBot="1" x14ac:dyDescent="0.3"/>
    <row r="2" spans="2:7" ht="15.75" thickBot="1" x14ac:dyDescent="0.3">
      <c r="B2" s="44" t="s">
        <v>14</v>
      </c>
      <c r="C2" s="43" t="s">
        <v>8</v>
      </c>
      <c r="D2" s="45" t="s">
        <v>8</v>
      </c>
      <c r="E2" s="21" t="s">
        <v>74</v>
      </c>
    </row>
    <row r="3" spans="2:7" x14ac:dyDescent="0.25">
      <c r="B3" s="53" t="s">
        <v>2</v>
      </c>
      <c r="C3" s="47">
        <v>20</v>
      </c>
      <c r="D3" s="34">
        <v>20</v>
      </c>
      <c r="E3" s="22">
        <v>0</v>
      </c>
    </row>
    <row r="4" spans="2:7" x14ac:dyDescent="0.25">
      <c r="B4" s="54" t="s">
        <v>51</v>
      </c>
      <c r="C4" s="48">
        <v>50</v>
      </c>
      <c r="D4" s="35">
        <v>50</v>
      </c>
      <c r="E4" s="26">
        <v>10</v>
      </c>
    </row>
    <row r="5" spans="2:7" x14ac:dyDescent="0.25">
      <c r="B5" s="55" t="s">
        <v>76</v>
      </c>
      <c r="C5" s="49">
        <v>150</v>
      </c>
      <c r="D5" s="36">
        <v>120</v>
      </c>
      <c r="E5" s="23">
        <v>50</v>
      </c>
      <c r="G5" t="s">
        <v>72</v>
      </c>
    </row>
    <row r="6" spans="2:7" x14ac:dyDescent="0.25">
      <c r="B6" s="55" t="s">
        <v>75</v>
      </c>
      <c r="C6" s="49">
        <v>80</v>
      </c>
      <c r="D6" s="36">
        <v>50</v>
      </c>
      <c r="E6" s="23">
        <v>30</v>
      </c>
    </row>
    <row r="7" spans="2:7" x14ac:dyDescent="0.25">
      <c r="B7" s="55" t="s">
        <v>4</v>
      </c>
      <c r="C7" s="49">
        <v>80</v>
      </c>
      <c r="D7" s="36">
        <v>10</v>
      </c>
      <c r="E7" s="23">
        <v>0</v>
      </c>
      <c r="G7" t="s">
        <v>89</v>
      </c>
    </row>
    <row r="8" spans="2:7" x14ac:dyDescent="0.25">
      <c r="B8" s="55" t="s">
        <v>3</v>
      </c>
      <c r="C8" s="49">
        <v>450</v>
      </c>
      <c r="D8" s="36">
        <v>300</v>
      </c>
      <c r="E8" s="23">
        <v>250</v>
      </c>
    </row>
    <row r="9" spans="2:7" x14ac:dyDescent="0.25">
      <c r="B9" s="55" t="s">
        <v>50</v>
      </c>
      <c r="C9" s="49">
        <v>590</v>
      </c>
      <c r="D9" s="36">
        <v>560</v>
      </c>
      <c r="E9" s="23">
        <v>40</v>
      </c>
    </row>
    <row r="10" spans="2:7" x14ac:dyDescent="0.25">
      <c r="B10" s="55" t="s">
        <v>5</v>
      </c>
      <c r="C10" s="49">
        <v>0</v>
      </c>
      <c r="D10" s="36">
        <v>0</v>
      </c>
      <c r="E10" s="23">
        <v>0</v>
      </c>
      <c r="G10" t="str">
        <f>G11</f>
        <v>Inclus dans le banc</v>
      </c>
    </row>
    <row r="11" spans="2:7" x14ac:dyDescent="0.25">
      <c r="B11" s="55" t="s">
        <v>6</v>
      </c>
      <c r="C11" s="49">
        <v>0</v>
      </c>
      <c r="D11" s="36">
        <v>0</v>
      </c>
      <c r="E11" s="23">
        <v>0</v>
      </c>
      <c r="G11" t="s">
        <v>73</v>
      </c>
    </row>
    <row r="12" spans="2:7" x14ac:dyDescent="0.25">
      <c r="B12" s="55" t="s">
        <v>7</v>
      </c>
      <c r="C12" s="49">
        <v>30</v>
      </c>
      <c r="D12" s="36">
        <v>30</v>
      </c>
      <c r="E12" s="23">
        <v>5</v>
      </c>
      <c r="G12" t="s">
        <v>69</v>
      </c>
    </row>
    <row r="13" spans="2:7" x14ac:dyDescent="0.25">
      <c r="B13" s="55" t="s">
        <v>19</v>
      </c>
      <c r="C13" s="49">
        <v>150</v>
      </c>
      <c r="D13" s="36">
        <v>110</v>
      </c>
      <c r="E13" s="23">
        <v>50</v>
      </c>
    </row>
    <row r="14" spans="2:7" ht="15.75" thickBot="1" x14ac:dyDescent="0.3">
      <c r="B14" s="56" t="s">
        <v>15</v>
      </c>
      <c r="C14" s="50">
        <v>50</v>
      </c>
      <c r="D14" s="37">
        <v>50</v>
      </c>
      <c r="E14" s="24">
        <v>5</v>
      </c>
      <c r="G14" t="s">
        <v>77</v>
      </c>
    </row>
    <row r="15" spans="2:7" x14ac:dyDescent="0.25">
      <c r="B15" s="53" t="s">
        <v>70</v>
      </c>
      <c r="C15" s="47">
        <v>100</v>
      </c>
      <c r="D15" s="34">
        <v>100</v>
      </c>
      <c r="E15" s="22"/>
    </row>
    <row r="16" spans="2:7" x14ac:dyDescent="0.25">
      <c r="B16" s="55" t="s">
        <v>11</v>
      </c>
      <c r="C16" s="49">
        <f>(infra!C7+infra!C8+infra!C9)/1000</f>
        <v>490</v>
      </c>
      <c r="D16" s="36">
        <f>C16</f>
        <v>490</v>
      </c>
      <c r="E16" s="23"/>
      <c r="G16" t="s">
        <v>71</v>
      </c>
    </row>
    <row r="17" spans="2:7" x14ac:dyDescent="0.25">
      <c r="B17" s="55" t="s">
        <v>90</v>
      </c>
      <c r="C17" s="49">
        <f>infra!C10/1000</f>
        <v>60</v>
      </c>
      <c r="D17" s="36">
        <f>C17</f>
        <v>60</v>
      </c>
      <c r="E17" s="23"/>
      <c r="G17" s="78"/>
    </row>
    <row r="18" spans="2:7" x14ac:dyDescent="0.25">
      <c r="B18" s="55" t="s">
        <v>12</v>
      </c>
      <c r="C18" s="49">
        <v>20</v>
      </c>
      <c r="D18" s="36">
        <v>20</v>
      </c>
      <c r="E18" s="23"/>
    </row>
    <row r="19" spans="2:7" ht="15.75" thickBot="1" x14ac:dyDescent="0.3">
      <c r="B19" s="56" t="s">
        <v>13</v>
      </c>
      <c r="C19" s="51">
        <f>5%*SUM(C5,C8,C9,C13:C14)</f>
        <v>69.5</v>
      </c>
      <c r="D19" s="38">
        <f>5%*SUM(D5,D8,D9,D13:D14)</f>
        <v>57</v>
      </c>
      <c r="E19" s="58"/>
    </row>
    <row r="20" spans="2:7" ht="15.75" thickBot="1" x14ac:dyDescent="0.3">
      <c r="B20" s="57"/>
      <c r="C20" s="52"/>
      <c r="D20" s="40"/>
      <c r="E20" s="21"/>
    </row>
    <row r="21" spans="2:7" ht="15.75" thickBot="1" x14ac:dyDescent="0.3">
      <c r="B21" s="42" t="s">
        <v>9</v>
      </c>
      <c r="C21" s="46">
        <f>SUM(C3:C20)</f>
        <v>2389.5</v>
      </c>
      <c r="D21" s="41">
        <f>SUM(D3:D20)</f>
        <v>2027</v>
      </c>
      <c r="E21" s="21">
        <f>SUM(E3:E19)</f>
        <v>440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topLeftCell="C1" zoomScale="130" zoomScaleNormal="130" workbookViewId="0">
      <selection activeCell="H25" sqref="H25"/>
    </sheetView>
  </sheetViews>
  <sheetFormatPr baseColWidth="10" defaultRowHeight="15" x14ac:dyDescent="0.25"/>
  <cols>
    <col min="1" max="1" width="43" bestFit="1" customWidth="1"/>
    <col min="2" max="2" width="12.5703125" style="2" customWidth="1"/>
    <col min="3" max="3" width="14.140625" style="2" customWidth="1"/>
    <col min="4" max="4" width="14.28515625" style="2" customWidth="1"/>
    <col min="5" max="5" width="14" style="2" customWidth="1"/>
    <col min="6" max="7" width="18.5703125" style="2" customWidth="1"/>
    <col min="8" max="8" width="3.7109375" style="2" customWidth="1"/>
    <col min="9" max="9" width="30.7109375" customWidth="1"/>
  </cols>
  <sheetData>
    <row r="2" spans="1:14" s="7" customFormat="1" ht="36" customHeight="1" x14ac:dyDescent="0.25">
      <c r="A2" s="11" t="str">
        <f>CONCATENATE("Diamètre"," ",J9,"mm")</f>
        <v>Diamètre 16mm</v>
      </c>
      <c r="B2" s="8" t="s">
        <v>26</v>
      </c>
      <c r="C2" s="8" t="s">
        <v>27</v>
      </c>
      <c r="D2" s="8" t="s">
        <v>16</v>
      </c>
      <c r="E2" s="8" t="s">
        <v>17</v>
      </c>
      <c r="F2" s="8" t="s">
        <v>30</v>
      </c>
      <c r="G2" s="8" t="s">
        <v>31</v>
      </c>
      <c r="H2" s="9"/>
      <c r="I2" s="10" t="s">
        <v>23</v>
      </c>
      <c r="J2" s="11"/>
      <c r="K2" s="7" t="s">
        <v>25</v>
      </c>
    </row>
    <row r="3" spans="1:14" x14ac:dyDescent="0.25">
      <c r="A3" s="4" t="s">
        <v>59</v>
      </c>
      <c r="B3" s="15">
        <f>'[1]D25 et D30 et D45'!$B$2</f>
        <v>0.18396619652808902</v>
      </c>
      <c r="C3" s="15">
        <f>'[1]D25 et D30 et D45'!$C$2</f>
        <v>2.2911963882618509</v>
      </c>
      <c r="D3" s="17">
        <f>'[2]18 rectifié H8'!$D$2</f>
        <v>0.98199999999999998</v>
      </c>
      <c r="E3" s="13">
        <f>D3</f>
        <v>0.98199999999999998</v>
      </c>
      <c r="F3" s="15">
        <f>C3*B3</f>
        <v>0.42150268504742738</v>
      </c>
      <c r="G3" s="15">
        <f>F3</f>
        <v>0.42150268504742738</v>
      </c>
      <c r="H3" s="6"/>
      <c r="I3" s="4" t="s">
        <v>24</v>
      </c>
      <c r="J3" s="4"/>
      <c r="K3" t="s">
        <v>25</v>
      </c>
      <c r="L3" t="s">
        <v>42</v>
      </c>
    </row>
    <row r="4" spans="1:14" x14ac:dyDescent="0.25">
      <c r="A4" s="4" t="s">
        <v>67</v>
      </c>
      <c r="B4" s="29">
        <f>30/(J16*12)/0.9</f>
        <v>0.22275880277094304</v>
      </c>
      <c r="C4" s="5">
        <v>1</v>
      </c>
      <c r="D4" s="17">
        <f>J15</f>
        <v>0.96227889068690364</v>
      </c>
      <c r="E4" s="13">
        <f>E3*D4</f>
        <v>0.9449578706545394</v>
      </c>
      <c r="F4" s="15">
        <f>B4*C4</f>
        <v>0.22275880277094304</v>
      </c>
      <c r="G4" s="15">
        <f>G3/D4+F4</f>
        <v>0.66078429530413796</v>
      </c>
      <c r="H4" s="6"/>
      <c r="I4" s="4" t="s">
        <v>49</v>
      </c>
      <c r="J4" s="15">
        <f>J2/E14-(100%-E14)*J3</f>
        <v>0</v>
      </c>
      <c r="L4">
        <f>J14+J14*0.75</f>
        <v>24500</v>
      </c>
      <c r="M4" t="s">
        <v>41</v>
      </c>
    </row>
    <row r="5" spans="1:14" x14ac:dyDescent="0.25">
      <c r="A5" s="4" t="s">
        <v>61</v>
      </c>
      <c r="B5" s="15">
        <f>30/(6*0.7*J20*60)/50%</f>
        <v>0.2673105633251317</v>
      </c>
      <c r="C5" s="5">
        <v>1</v>
      </c>
      <c r="D5" s="17">
        <f>J15</f>
        <v>0.96227889068690364</v>
      </c>
      <c r="E5" s="13">
        <f t="shared" ref="E5:E16" si="0">E4*D5</f>
        <v>0.90931301151930877</v>
      </c>
      <c r="F5" s="15">
        <f>B5*C5</f>
        <v>0.2673105633251317</v>
      </c>
      <c r="G5" s="15">
        <f t="shared" ref="G5:G16" si="1">G4/D5+F5</f>
        <v>0.953997449735422</v>
      </c>
      <c r="H5" s="6"/>
      <c r="I5" s="4" t="s">
        <v>28</v>
      </c>
      <c r="J5" s="5">
        <v>8.1199999999999992</v>
      </c>
      <c r="L5" t="s">
        <v>43</v>
      </c>
    </row>
    <row r="6" spans="1:14" x14ac:dyDescent="0.25">
      <c r="A6" s="4" t="s">
        <v>18</v>
      </c>
      <c r="B6" s="15">
        <f>B5</f>
        <v>0.2673105633251317</v>
      </c>
      <c r="C6" s="5">
        <v>1</v>
      </c>
      <c r="D6" s="17">
        <v>0.97</v>
      </c>
      <c r="E6" s="13">
        <f t="shared" si="0"/>
        <v>0.88203362117372952</v>
      </c>
      <c r="F6" s="15">
        <f>B6*C6</f>
        <v>0.2673105633251317</v>
      </c>
      <c r="G6" s="15">
        <f t="shared" si="1"/>
        <v>1.2508130888255669</v>
      </c>
      <c r="H6" s="6"/>
      <c r="I6" s="4" t="s">
        <v>29</v>
      </c>
      <c r="J6" s="5">
        <v>4.43</v>
      </c>
      <c r="L6" s="1">
        <f>L4/6000</f>
        <v>4.083333333333333</v>
      </c>
      <c r="M6" t="s">
        <v>44</v>
      </c>
    </row>
    <row r="7" spans="1:14" x14ac:dyDescent="0.25">
      <c r="A7" s="4" t="s">
        <v>20</v>
      </c>
      <c r="B7" s="15">
        <f>(2/60)*N11/(10*J16)/30%/22%</f>
        <v>0.1215048015114235</v>
      </c>
      <c r="C7" s="5">
        <v>1</v>
      </c>
      <c r="D7" s="13">
        <v>1</v>
      </c>
      <c r="E7" s="13">
        <f t="shared" si="0"/>
        <v>0.88203362117372952</v>
      </c>
      <c r="F7" s="15">
        <f>B7*C7</f>
        <v>0.1215048015114235</v>
      </c>
      <c r="G7" s="15">
        <f t="shared" si="1"/>
        <v>1.3723178903369904</v>
      </c>
      <c r="H7" s="6"/>
      <c r="L7" t="s">
        <v>45</v>
      </c>
      <c r="M7" t="s">
        <v>46</v>
      </c>
    </row>
    <row r="8" spans="1:14" x14ac:dyDescent="0.25">
      <c r="A8" s="4" t="s">
        <v>22</v>
      </c>
      <c r="B8" s="15">
        <f>(3/60)*N11/(20*J16)/60%/80%</f>
        <v>1.2530182655865547E-2</v>
      </c>
      <c r="C8" s="5">
        <v>1</v>
      </c>
      <c r="D8" s="17">
        <f>100%-200/J14</f>
        <v>0.98571428571428577</v>
      </c>
      <c r="E8" s="13">
        <f t="shared" si="0"/>
        <v>0.86943314087124768</v>
      </c>
      <c r="F8" s="15">
        <f t="shared" ref="F8:F16" si="2">B8*C8</f>
        <v>1.2530182655865547E-2</v>
      </c>
      <c r="G8" s="15">
        <f t="shared" si="1"/>
        <v>1.4047367380702034</v>
      </c>
      <c r="H8" s="6"/>
      <c r="I8" s="4" t="s">
        <v>52</v>
      </c>
      <c r="J8" s="5">
        <v>26</v>
      </c>
      <c r="K8" t="s">
        <v>41</v>
      </c>
      <c r="L8" s="1">
        <f>L6/45%</f>
        <v>9.0740740740740726</v>
      </c>
      <c r="M8" t="s">
        <v>44</v>
      </c>
    </row>
    <row r="9" spans="1:14" x14ac:dyDescent="0.25">
      <c r="A9" s="4" t="s">
        <v>21</v>
      </c>
      <c r="B9" s="15">
        <f>0.135</f>
        <v>0.13500000000000001</v>
      </c>
      <c r="C9" s="15">
        <f>8.12/4.43</f>
        <v>1.8329571106094809</v>
      </c>
      <c r="D9" s="17">
        <v>1</v>
      </c>
      <c r="E9" s="13">
        <f t="shared" si="0"/>
        <v>0.86943314087124768</v>
      </c>
      <c r="F9" s="15">
        <f t="shared" si="2"/>
        <v>0.24744920993227992</v>
      </c>
      <c r="G9" s="15">
        <f t="shared" si="1"/>
        <v>1.6521859480024834</v>
      </c>
      <c r="H9" s="6"/>
      <c r="I9" s="28" t="s">
        <v>32</v>
      </c>
      <c r="J9" s="27">
        <v>16</v>
      </c>
      <c r="K9" t="s">
        <v>41</v>
      </c>
      <c r="L9" t="s">
        <v>47</v>
      </c>
    </row>
    <row r="10" spans="1:14" x14ac:dyDescent="0.25">
      <c r="A10" s="4" t="s">
        <v>54</v>
      </c>
      <c r="B10" s="15">
        <f>'[3]16 rectifié H8'!$B$27</f>
        <v>0.03</v>
      </c>
      <c r="C10" s="15">
        <f>'[4]16 rectifié H8'!$C$27</f>
        <v>1</v>
      </c>
      <c r="D10" s="13">
        <v>1</v>
      </c>
      <c r="E10" s="13">
        <f t="shared" si="0"/>
        <v>0.86943314087124768</v>
      </c>
      <c r="F10" s="15">
        <f t="shared" si="2"/>
        <v>0.03</v>
      </c>
      <c r="G10" s="15">
        <f t="shared" si="1"/>
        <v>1.6821859480024834</v>
      </c>
      <c r="H10" s="6"/>
      <c r="I10" s="12" t="s">
        <v>36</v>
      </c>
      <c r="J10" s="13">
        <f>J9^2/J8^2</f>
        <v>0.378698224852071</v>
      </c>
      <c r="L10" s="19">
        <v>0.47</v>
      </c>
    </row>
    <row r="11" spans="1:14" x14ac:dyDescent="0.25">
      <c r="A11" s="4" t="s">
        <v>55</v>
      </c>
      <c r="B11" s="15">
        <f>30/(4000*60/J14*J16)/54%/70%</f>
        <v>0.37126467128490509</v>
      </c>
      <c r="C11" s="5">
        <v>1</v>
      </c>
      <c r="D11" s="13">
        <f>(J9+0.1)^2/(J9+0.1+0.15)^2</f>
        <v>0.98162366863905337</v>
      </c>
      <c r="E11" s="13">
        <f>E10*D11</f>
        <v>0.85345614937840908</v>
      </c>
      <c r="F11" s="15">
        <f t="shared" si="2"/>
        <v>0.37126467128490509</v>
      </c>
      <c r="G11" s="15">
        <f>G10/D11+F11</f>
        <v>2.084941716516207</v>
      </c>
      <c r="H11" s="6"/>
      <c r="I11" s="12" t="s">
        <v>37</v>
      </c>
      <c r="J11" s="15">
        <f>1/J10</f>
        <v>2.640625</v>
      </c>
      <c r="L11" t="s">
        <v>48</v>
      </c>
      <c r="N11" s="20">
        <v>30</v>
      </c>
    </row>
    <row r="12" spans="1:14" x14ac:dyDescent="0.25">
      <c r="A12" s="4" t="s">
        <v>63</v>
      </c>
      <c r="B12" s="15">
        <f>B11*2</f>
        <v>0.74252934256981018</v>
      </c>
      <c r="C12" s="5">
        <v>1</v>
      </c>
      <c r="D12" s="13">
        <f>(J9)^2/(J9+0.1)^2</f>
        <v>0.98761621851008818</v>
      </c>
      <c r="E12" s="13">
        <f t="shared" si="0"/>
        <v>0.84288713491328537</v>
      </c>
      <c r="F12" s="15">
        <f t="shared" si="2"/>
        <v>0.74252934256981018</v>
      </c>
      <c r="G12" s="15">
        <f t="shared" si="1"/>
        <v>2.8536142735782715</v>
      </c>
      <c r="H12" s="6"/>
      <c r="L12" t="s">
        <v>53</v>
      </c>
    </row>
    <row r="13" spans="1:14" x14ac:dyDescent="0.25">
      <c r="A13" s="4" t="s">
        <v>56</v>
      </c>
      <c r="B13" s="15">
        <f>0.105*J14/1000/J16</f>
        <v>0.11788395842638306</v>
      </c>
      <c r="C13" s="15">
        <f>C9</f>
        <v>1.8329571106094809</v>
      </c>
      <c r="D13" s="13">
        <v>0.95</v>
      </c>
      <c r="E13" s="13">
        <f t="shared" si="0"/>
        <v>0.80074277816762107</v>
      </c>
      <c r="F13" s="15">
        <f t="shared" si="2"/>
        <v>0.21607623982443128</v>
      </c>
      <c r="G13" s="15">
        <f t="shared" si="1"/>
        <v>3.2198807383278751</v>
      </c>
      <c r="H13" s="6"/>
      <c r="I13" s="4" t="s">
        <v>33</v>
      </c>
      <c r="J13" s="14">
        <f>(J14*J9^2+200)/J8^2</f>
        <v>5302.0710059171597</v>
      </c>
      <c r="K13" t="s">
        <v>41</v>
      </c>
      <c r="L13" s="19">
        <v>0.15</v>
      </c>
    </row>
    <row r="14" spans="1:14" x14ac:dyDescent="0.25">
      <c r="A14" s="4" t="s">
        <v>58</v>
      </c>
      <c r="B14" s="15">
        <f>'[4]16 rectifié H8'!$B$32</f>
        <v>9.4E-2</v>
      </c>
      <c r="C14" s="15">
        <v>1</v>
      </c>
      <c r="D14" s="13">
        <v>1</v>
      </c>
      <c r="E14" s="13">
        <f t="shared" si="0"/>
        <v>0.80074277816762107</v>
      </c>
      <c r="F14" s="15">
        <f t="shared" si="2"/>
        <v>9.4E-2</v>
      </c>
      <c r="G14" s="15">
        <f t="shared" si="1"/>
        <v>3.313880738327875</v>
      </c>
      <c r="H14" s="6"/>
      <c r="I14" s="4" t="s">
        <v>34</v>
      </c>
      <c r="J14" s="33">
        <v>14000</v>
      </c>
      <c r="K14" t="s">
        <v>41</v>
      </c>
    </row>
    <row r="15" spans="1:14" x14ac:dyDescent="0.25">
      <c r="A15" s="4" t="s">
        <v>57</v>
      </c>
      <c r="B15" s="15">
        <f>'[4]16 rectifié H8'!$B$33</f>
        <v>0.35</v>
      </c>
      <c r="C15" s="5">
        <v>1</v>
      </c>
      <c r="D15" s="17">
        <v>1</v>
      </c>
      <c r="E15" s="13">
        <f t="shared" si="0"/>
        <v>0.80074277816762107</v>
      </c>
      <c r="F15" s="15">
        <f t="shared" si="2"/>
        <v>0.35</v>
      </c>
      <c r="G15" s="15">
        <f t="shared" si="1"/>
        <v>3.6638807383278751</v>
      </c>
      <c r="H15" s="6"/>
      <c r="I15" s="12" t="s">
        <v>35</v>
      </c>
      <c r="J15" s="13">
        <f>(J13-200)/J13</f>
        <v>0.96227889068690364</v>
      </c>
    </row>
    <row r="16" spans="1:14" x14ac:dyDescent="0.25">
      <c r="A16" s="12" t="s">
        <v>60</v>
      </c>
      <c r="B16" s="15">
        <f>'[4]16 rectifié H8'!$B$31</f>
        <v>3.5000000000000003E-2</v>
      </c>
      <c r="C16" s="5">
        <v>1</v>
      </c>
      <c r="D16" s="17">
        <v>1</v>
      </c>
      <c r="E16" s="13">
        <f t="shared" si="0"/>
        <v>0.80074277816762107</v>
      </c>
      <c r="F16" s="5">
        <f t="shared" si="2"/>
        <v>3.5000000000000003E-2</v>
      </c>
      <c r="G16" s="15">
        <f t="shared" si="1"/>
        <v>3.6988807383278752</v>
      </c>
      <c r="I16" s="12" t="s">
        <v>39</v>
      </c>
      <c r="J16" s="18">
        <f>J14*3.1416*J9^2/4*J6/1000000</f>
        <v>12.469890048</v>
      </c>
      <c r="K16" t="s">
        <v>40</v>
      </c>
    </row>
    <row r="17" spans="4:11" customFormat="1" x14ac:dyDescent="0.25">
      <c r="D17" s="2"/>
      <c r="E17" s="2"/>
      <c r="F17" s="2"/>
      <c r="G17" s="2"/>
      <c r="H17" s="2"/>
      <c r="I17" t="s">
        <v>38</v>
      </c>
    </row>
    <row r="18" spans="4:11" customFormat="1" x14ac:dyDescent="0.25">
      <c r="D18" s="2"/>
      <c r="E18" s="2"/>
      <c r="F18" s="2"/>
      <c r="G18" s="2"/>
      <c r="H18" s="2"/>
      <c r="I18" s="16">
        <f>'[4]16 rectifié H8'!$E$33</f>
        <v>0.76504925000000001</v>
      </c>
    </row>
    <row r="19" spans="4:11" customFormat="1" x14ac:dyDescent="0.25">
      <c r="D19" s="20" t="s">
        <v>64</v>
      </c>
      <c r="E19" s="2"/>
      <c r="F19" s="31">
        <v>9.2999999999999999E-2</v>
      </c>
      <c r="G19" s="2"/>
      <c r="H19" s="2"/>
    </row>
    <row r="20" spans="4:11" customFormat="1" x14ac:dyDescent="0.25">
      <c r="D20" s="20" t="s">
        <v>65</v>
      </c>
      <c r="E20" s="2"/>
      <c r="F20" s="30">
        <f>G16*(1+F19)</f>
        <v>4.0428766469923678</v>
      </c>
      <c r="G20" s="2"/>
      <c r="H20" s="2"/>
      <c r="J20" s="30">
        <f>J16/J14*1000</f>
        <v>0.89070643199999999</v>
      </c>
      <c r="K20" t="s">
        <v>62</v>
      </c>
    </row>
    <row r="21" spans="4:11" customFormat="1" x14ac:dyDescent="0.25">
      <c r="D21" s="20" t="s">
        <v>66</v>
      </c>
      <c r="E21" s="2"/>
      <c r="F21" s="30">
        <f>F20*1.5582</f>
        <v>6.2996103913435073</v>
      </c>
      <c r="G21" s="2"/>
      <c r="H21" s="2"/>
    </row>
  </sheetData>
  <pageMargins left="0.70866141732283472" right="0.70866141732283472" top="0.74803149606299213" bottom="0.74803149606299213" header="0.31496062992125984" footer="0.31496062992125984"/>
  <pageSetup scale="53" orientation="landscape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B1" workbookViewId="0">
      <selection activeCell="I30" sqref="I30"/>
    </sheetView>
  </sheetViews>
  <sheetFormatPr baseColWidth="10" defaultRowHeight="15" x14ac:dyDescent="0.25"/>
  <cols>
    <col min="1" max="1" width="43" bestFit="1" customWidth="1"/>
    <col min="2" max="2" width="12.5703125" style="2" customWidth="1"/>
    <col min="3" max="3" width="14.140625" style="2" customWidth="1"/>
    <col min="4" max="4" width="14.28515625" style="2" customWidth="1"/>
    <col min="5" max="5" width="14" style="2" customWidth="1"/>
    <col min="6" max="7" width="18.5703125" style="2" customWidth="1"/>
    <col min="8" max="8" width="3.7109375" style="2" customWidth="1"/>
    <col min="9" max="9" width="30.7109375" customWidth="1"/>
  </cols>
  <sheetData>
    <row r="2" spans="1:14" s="7" customFormat="1" ht="36" customHeight="1" x14ac:dyDescent="0.25">
      <c r="A2" s="11" t="str">
        <f>CONCATENATE("Diamètre"," ",J9,"mm")</f>
        <v>Diamètre 20mm</v>
      </c>
      <c r="B2" s="8" t="s">
        <v>26</v>
      </c>
      <c r="C2" s="8" t="s">
        <v>27</v>
      </c>
      <c r="D2" s="8" t="s">
        <v>16</v>
      </c>
      <c r="E2" s="8" t="s">
        <v>17</v>
      </c>
      <c r="F2" s="8" t="s">
        <v>30</v>
      </c>
      <c r="G2" s="8" t="s">
        <v>31</v>
      </c>
      <c r="H2" s="9"/>
      <c r="I2" s="10" t="s">
        <v>23</v>
      </c>
      <c r="J2" s="11"/>
      <c r="K2" s="7" t="s">
        <v>25</v>
      </c>
    </row>
    <row r="3" spans="1:14" x14ac:dyDescent="0.25">
      <c r="A3" s="4" t="s">
        <v>68</v>
      </c>
      <c r="B3" s="15">
        <f>'Coût 16'!B3</f>
        <v>0.18396619652808902</v>
      </c>
      <c r="C3" s="15">
        <f>'[1]D25 et D30 et D45'!$C$2</f>
        <v>2.2911963882618509</v>
      </c>
      <c r="D3" s="17">
        <f>'[2]18 rectifié H8'!$D$2</f>
        <v>0.98199999999999998</v>
      </c>
      <c r="E3" s="13">
        <f>D3</f>
        <v>0.98199999999999998</v>
      </c>
      <c r="F3" s="15">
        <f>C3*B3</f>
        <v>0.42150268504742738</v>
      </c>
      <c r="G3" s="15">
        <f>F3</f>
        <v>0.42150268504742738</v>
      </c>
      <c r="H3" s="6"/>
      <c r="I3" s="4" t="s">
        <v>24</v>
      </c>
      <c r="J3" s="4"/>
      <c r="K3" t="s">
        <v>25</v>
      </c>
      <c r="L3" t="s">
        <v>42</v>
      </c>
    </row>
    <row r="4" spans="1:14" x14ac:dyDescent="0.25">
      <c r="A4" s="4" t="s">
        <v>67</v>
      </c>
      <c r="B4" s="29">
        <f>30/(J16*12)/0.9</f>
        <v>0.1663265727356375</v>
      </c>
      <c r="C4" s="5">
        <v>1</v>
      </c>
      <c r="D4" s="17">
        <f>J15</f>
        <v>0.9673346943877339</v>
      </c>
      <c r="E4" s="13">
        <f>E3*D4</f>
        <v>0.94992266988875462</v>
      </c>
      <c r="F4" s="15">
        <f>B4*C4</f>
        <v>0.1663265727356375</v>
      </c>
      <c r="G4" s="15">
        <f>G3/D4+F4</f>
        <v>0.60206271193636551</v>
      </c>
      <c r="H4" s="6"/>
      <c r="I4" s="4" t="s">
        <v>49</v>
      </c>
      <c r="J4" s="15">
        <f>J2/E14-(100%-E14)*J3</f>
        <v>0</v>
      </c>
      <c r="L4">
        <f>J14+J14*0.75</f>
        <v>21000</v>
      </c>
      <c r="M4" t="s">
        <v>41</v>
      </c>
    </row>
    <row r="5" spans="1:14" x14ac:dyDescent="0.25">
      <c r="A5" s="4" t="s">
        <v>61</v>
      </c>
      <c r="B5" s="15">
        <f>30/(6*0.7*J20*60)/50%</f>
        <v>0.17107876052808435</v>
      </c>
      <c r="C5" s="5">
        <v>1</v>
      </c>
      <c r="D5" s="17">
        <f>J15</f>
        <v>0.9673346943877339</v>
      </c>
      <c r="E5" s="13">
        <f t="shared" ref="E5:E16" si="0">E4*D5</f>
        <v>0.91889315556881868</v>
      </c>
      <c r="F5" s="15">
        <f>B5*C5</f>
        <v>0.17107876052808435</v>
      </c>
      <c r="G5" s="15">
        <f t="shared" ref="G5:G16" si="1">G4/D5+F5</f>
        <v>0.79347214249753384</v>
      </c>
      <c r="H5" s="6"/>
      <c r="I5" s="4" t="s">
        <v>28</v>
      </c>
      <c r="J5" s="5">
        <v>8.1199999999999992</v>
      </c>
      <c r="L5" t="s">
        <v>43</v>
      </c>
    </row>
    <row r="6" spans="1:14" x14ac:dyDescent="0.25">
      <c r="A6" s="4" t="s">
        <v>18</v>
      </c>
      <c r="B6" s="15">
        <f>B5</f>
        <v>0.17107876052808435</v>
      </c>
      <c r="C6" s="5">
        <v>1</v>
      </c>
      <c r="D6" s="17">
        <v>1</v>
      </c>
      <c r="E6" s="13">
        <f t="shared" si="0"/>
        <v>0.91889315556881868</v>
      </c>
      <c r="F6" s="15">
        <f>B6*C6</f>
        <v>0.17107876052808435</v>
      </c>
      <c r="G6" s="15">
        <f t="shared" si="1"/>
        <v>0.96455090302561819</v>
      </c>
      <c r="H6" s="6"/>
      <c r="I6" s="4" t="s">
        <v>29</v>
      </c>
      <c r="J6" s="5">
        <v>4.43</v>
      </c>
      <c r="L6" s="1">
        <f>L4/6000</f>
        <v>3.5</v>
      </c>
      <c r="M6" t="s">
        <v>44</v>
      </c>
    </row>
    <row r="7" spans="1:14" x14ac:dyDescent="0.25">
      <c r="A7" s="4" t="s">
        <v>20</v>
      </c>
      <c r="B7" s="15">
        <f>(2/60)*N11/(10*J16)/30%/22%</f>
        <v>9.0723585128529544E-2</v>
      </c>
      <c r="C7" s="5">
        <v>1</v>
      </c>
      <c r="D7" s="13">
        <v>1</v>
      </c>
      <c r="E7" s="13">
        <f t="shared" si="0"/>
        <v>0.91889315556881868</v>
      </c>
      <c r="F7" s="15">
        <f>B7*C7</f>
        <v>9.0723585128529544E-2</v>
      </c>
      <c r="G7" s="15">
        <f t="shared" si="1"/>
        <v>1.0552744881541478</v>
      </c>
      <c r="H7" s="6"/>
      <c r="L7" t="s">
        <v>45</v>
      </c>
      <c r="M7" t="s">
        <v>46</v>
      </c>
    </row>
    <row r="8" spans="1:14" x14ac:dyDescent="0.25">
      <c r="A8" s="4" t="s">
        <v>22</v>
      </c>
      <c r="B8" s="15">
        <f>(3/60)*N11/(20*J16)/60%/80%</f>
        <v>9.3558697163796094E-3</v>
      </c>
      <c r="C8" s="5">
        <v>1</v>
      </c>
      <c r="D8" s="17">
        <f>100%-200/J14</f>
        <v>0.98333333333333328</v>
      </c>
      <c r="E8" s="13">
        <f t="shared" si="0"/>
        <v>0.90357826964267163</v>
      </c>
      <c r="F8" s="15">
        <f t="shared" ref="F8:F16" si="2">B8*C8</f>
        <v>9.3558697163796094E-3</v>
      </c>
      <c r="G8" s="15">
        <f t="shared" si="1"/>
        <v>1.0825163661443267</v>
      </c>
      <c r="H8" s="6"/>
      <c r="I8" s="4" t="s">
        <v>52</v>
      </c>
      <c r="J8" s="5">
        <v>28</v>
      </c>
      <c r="K8" t="s">
        <v>41</v>
      </c>
      <c r="L8" s="1">
        <f>L6/45%</f>
        <v>7.7777777777777777</v>
      </c>
      <c r="M8" t="s">
        <v>44</v>
      </c>
    </row>
    <row r="9" spans="1:14" x14ac:dyDescent="0.25">
      <c r="A9" s="4" t="s">
        <v>21</v>
      </c>
      <c r="B9" s="15">
        <f>0.135</f>
        <v>0.13500000000000001</v>
      </c>
      <c r="C9" s="15">
        <f>8.12/4.43</f>
        <v>1.8329571106094809</v>
      </c>
      <c r="D9" s="17">
        <v>1</v>
      </c>
      <c r="E9" s="13">
        <f t="shared" si="0"/>
        <v>0.90357826964267163</v>
      </c>
      <c r="F9" s="15">
        <f t="shared" si="2"/>
        <v>0.24744920993227992</v>
      </c>
      <c r="G9" s="15">
        <f t="shared" si="1"/>
        <v>1.3299655760766065</v>
      </c>
      <c r="H9" s="6"/>
      <c r="I9" s="28" t="s">
        <v>32</v>
      </c>
      <c r="J9" s="27">
        <v>20</v>
      </c>
      <c r="K9" t="s">
        <v>41</v>
      </c>
      <c r="L9" t="s">
        <v>47</v>
      </c>
    </row>
    <row r="10" spans="1:14" x14ac:dyDescent="0.25">
      <c r="A10" s="4" t="s">
        <v>54</v>
      </c>
      <c r="B10" s="15">
        <f>'[3]16 rectifié H8'!$B$27</f>
        <v>0.03</v>
      </c>
      <c r="C10" s="15">
        <f>'[4]16 rectifié H8'!$C$27</f>
        <v>1</v>
      </c>
      <c r="D10" s="13">
        <v>1</v>
      </c>
      <c r="E10" s="13">
        <f t="shared" si="0"/>
        <v>0.90357826964267163</v>
      </c>
      <c r="F10" s="15">
        <f t="shared" si="2"/>
        <v>0.03</v>
      </c>
      <c r="G10" s="15">
        <f t="shared" si="1"/>
        <v>1.3599655760766065</v>
      </c>
      <c r="H10" s="6"/>
      <c r="I10" s="12" t="s">
        <v>36</v>
      </c>
      <c r="J10" s="13">
        <f>J9^2/J8^2</f>
        <v>0.51020408163265307</v>
      </c>
      <c r="L10" s="19">
        <v>0.47</v>
      </c>
    </row>
    <row r="11" spans="1:14" x14ac:dyDescent="0.25">
      <c r="A11" s="4" t="s">
        <v>55</v>
      </c>
      <c r="B11" s="15">
        <f>30/(4000*60/J14*J16)/54%/70%</f>
        <v>0.23760938962233927</v>
      </c>
      <c r="C11" s="5">
        <v>1</v>
      </c>
      <c r="D11" s="13">
        <f>(J9+0.1)^2/(J9+0.1+0.15)^2</f>
        <v>0.98524005486968458</v>
      </c>
      <c r="E11" s="13">
        <f>E10*D11</f>
        <v>0.89024150396180046</v>
      </c>
      <c r="F11" s="15">
        <f t="shared" si="2"/>
        <v>0.23760938962233927</v>
      </c>
      <c r="G11" s="15">
        <f>G10/D11+F11</f>
        <v>1.617948698154092</v>
      </c>
      <c r="H11" s="6"/>
      <c r="I11" s="12" t="s">
        <v>37</v>
      </c>
      <c r="J11" s="15">
        <f>1/J10</f>
        <v>1.96</v>
      </c>
      <c r="L11" t="s">
        <v>48</v>
      </c>
      <c r="N11" s="20">
        <v>30</v>
      </c>
    </row>
    <row r="12" spans="1:14" x14ac:dyDescent="0.25">
      <c r="A12" s="4" t="s">
        <v>63</v>
      </c>
      <c r="B12" s="15">
        <f>B11*2</f>
        <v>0.47521877924467854</v>
      </c>
      <c r="C12" s="5">
        <v>1</v>
      </c>
      <c r="D12" s="13">
        <f>(J9)^2/(J9+0.1)^2</f>
        <v>0.99007450310635858</v>
      </c>
      <c r="E12" s="13">
        <f t="shared" si="0"/>
        <v>0.88140541467963696</v>
      </c>
      <c r="F12" s="15">
        <f t="shared" si="2"/>
        <v>0.47521877924467854</v>
      </c>
      <c r="G12" s="15">
        <f t="shared" si="1"/>
        <v>2.1093874130977657</v>
      </c>
      <c r="H12" s="6"/>
      <c r="L12" t="s">
        <v>53</v>
      </c>
    </row>
    <row r="13" spans="1:14" x14ac:dyDescent="0.25">
      <c r="A13" s="4" t="s">
        <v>56</v>
      </c>
      <c r="B13" s="15">
        <f>0.105*J14/1000/J16</f>
        <v>7.5445733392885184E-2</v>
      </c>
      <c r="C13" s="15">
        <f>C9</f>
        <v>1.8329571106094809</v>
      </c>
      <c r="D13" s="13">
        <v>0.95</v>
      </c>
      <c r="E13" s="13">
        <f t="shared" si="0"/>
        <v>0.83733514394565511</v>
      </c>
      <c r="F13" s="15">
        <f t="shared" si="2"/>
        <v>0.13828879348763606</v>
      </c>
      <c r="G13" s="15">
        <f t="shared" si="1"/>
        <v>2.3586965967484423</v>
      </c>
      <c r="H13" s="6"/>
      <c r="I13" s="4" t="s">
        <v>33</v>
      </c>
      <c r="J13" s="14">
        <f>(J14*J9^2+200)/J8^2</f>
        <v>6122.7040816326535</v>
      </c>
      <c r="K13" t="s">
        <v>41</v>
      </c>
      <c r="L13" s="19">
        <v>0.15</v>
      </c>
    </row>
    <row r="14" spans="1:14" x14ac:dyDescent="0.25">
      <c r="A14" s="4" t="s">
        <v>58</v>
      </c>
      <c r="B14" s="15">
        <f>'[4]16 rectifié H8'!$B$32</f>
        <v>9.4E-2</v>
      </c>
      <c r="C14" s="15">
        <v>1</v>
      </c>
      <c r="D14" s="13">
        <v>1</v>
      </c>
      <c r="E14" s="13">
        <f t="shared" si="0"/>
        <v>0.83733514394565511</v>
      </c>
      <c r="F14" s="15">
        <f t="shared" si="2"/>
        <v>9.4E-2</v>
      </c>
      <c r="G14" s="15">
        <f t="shared" si="1"/>
        <v>2.4526965967484422</v>
      </c>
      <c r="H14" s="6"/>
      <c r="I14" s="4" t="s">
        <v>34</v>
      </c>
      <c r="J14" s="33">
        <v>12000</v>
      </c>
      <c r="K14" t="s">
        <v>41</v>
      </c>
    </row>
    <row r="15" spans="1:14" x14ac:dyDescent="0.25">
      <c r="A15" s="4" t="s">
        <v>57</v>
      </c>
      <c r="B15" s="15">
        <f>'[4]16 rectifié H8'!$B$33</f>
        <v>0.35</v>
      </c>
      <c r="C15" s="5">
        <v>1</v>
      </c>
      <c r="D15" s="17">
        <v>1</v>
      </c>
      <c r="E15" s="13">
        <f t="shared" si="0"/>
        <v>0.83733514394565511</v>
      </c>
      <c r="F15" s="15">
        <f t="shared" si="2"/>
        <v>0.35</v>
      </c>
      <c r="G15" s="15">
        <f t="shared" si="1"/>
        <v>2.8026965967484423</v>
      </c>
      <c r="H15" s="6"/>
      <c r="I15" s="12" t="s">
        <v>35</v>
      </c>
      <c r="J15" s="13">
        <f>(J13-200)/J13</f>
        <v>0.9673346943877339</v>
      </c>
    </row>
    <row r="16" spans="1:14" x14ac:dyDescent="0.25">
      <c r="A16" s="12" t="s">
        <v>60</v>
      </c>
      <c r="B16" s="15">
        <f>'[4]16 rectifié H8'!$B$31</f>
        <v>3.5000000000000003E-2</v>
      </c>
      <c r="C16" s="5">
        <v>1</v>
      </c>
      <c r="D16" s="17">
        <v>1</v>
      </c>
      <c r="E16" s="13">
        <f t="shared" si="0"/>
        <v>0.83733514394565511</v>
      </c>
      <c r="F16" s="5">
        <f t="shared" si="2"/>
        <v>3.5000000000000003E-2</v>
      </c>
      <c r="G16" s="15">
        <f t="shared" si="1"/>
        <v>2.8376965967484424</v>
      </c>
      <c r="I16" s="12" t="s">
        <v>39</v>
      </c>
      <c r="J16" s="18">
        <f>J14*3.1416*J9^2/4*J6/1000000</f>
        <v>16.700745599999998</v>
      </c>
      <c r="K16" t="s">
        <v>40</v>
      </c>
    </row>
    <row r="17" spans="4:11" customFormat="1" x14ac:dyDescent="0.25">
      <c r="D17" s="2"/>
      <c r="E17" s="2"/>
      <c r="F17" s="2"/>
      <c r="G17" s="2"/>
      <c r="H17" s="2"/>
      <c r="I17" t="s">
        <v>38</v>
      </c>
    </row>
    <row r="18" spans="4:11" customFormat="1" x14ac:dyDescent="0.25">
      <c r="D18" s="2"/>
      <c r="E18" s="2"/>
      <c r="F18" s="2"/>
      <c r="G18" s="2"/>
      <c r="H18" s="2"/>
      <c r="I18" s="16">
        <f>'[4]16 rectifié H8'!$E$33</f>
        <v>0.76504925000000001</v>
      </c>
    </row>
    <row r="19" spans="4:11" customFormat="1" x14ac:dyDescent="0.25">
      <c r="D19" s="20" t="s">
        <v>64</v>
      </c>
      <c r="E19" s="2"/>
      <c r="F19" s="31">
        <v>9.2999999999999999E-2</v>
      </c>
      <c r="G19" s="2"/>
      <c r="H19" s="2"/>
    </row>
    <row r="20" spans="4:11" customFormat="1" x14ac:dyDescent="0.25">
      <c r="D20" s="20" t="s">
        <v>65</v>
      </c>
      <c r="E20" s="2"/>
      <c r="F20" s="30">
        <f>G16*(1+F19)</f>
        <v>3.1016023802460473</v>
      </c>
      <c r="G20" s="2"/>
      <c r="H20" s="2"/>
      <c r="J20" s="30">
        <f>J16/J14*1000</f>
        <v>1.3917287999999999</v>
      </c>
      <c r="K20" t="s">
        <v>62</v>
      </c>
    </row>
    <row r="21" spans="4:11" customFormat="1" x14ac:dyDescent="0.25">
      <c r="D21" s="20" t="s">
        <v>66</v>
      </c>
      <c r="E21" s="2"/>
      <c r="F21" s="30">
        <f>F20*1.5582</f>
        <v>4.8329168288993909</v>
      </c>
      <c r="G21" s="2"/>
      <c r="H21" s="2"/>
    </row>
    <row r="24" spans="4:11" x14ac:dyDescent="0.25">
      <c r="F24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17"/>
  <sheetViews>
    <sheetView workbookViewId="0">
      <selection activeCell="E7" sqref="E7"/>
    </sheetView>
  </sheetViews>
  <sheetFormatPr baseColWidth="10" defaultRowHeight="15" x14ac:dyDescent="0.25"/>
  <sheetData>
    <row r="2" spans="5:9" x14ac:dyDescent="0.25">
      <c r="F2" s="19"/>
    </row>
    <row r="3" spans="5:9" x14ac:dyDescent="0.25">
      <c r="F3" s="19"/>
    </row>
    <row r="4" spans="5:9" x14ac:dyDescent="0.25">
      <c r="F4" s="19"/>
    </row>
    <row r="5" spans="5:9" x14ac:dyDescent="0.25">
      <c r="E5" s="32">
        <v>28</v>
      </c>
      <c r="F5" s="19">
        <v>0.3</v>
      </c>
      <c r="H5" s="32">
        <v>30</v>
      </c>
      <c r="I5" s="19">
        <v>0.35</v>
      </c>
    </row>
    <row r="6" spans="5:9" x14ac:dyDescent="0.25">
      <c r="E6" s="32">
        <f>E5*(100%-F5)^0.5</f>
        <v>23.426480742954116</v>
      </c>
      <c r="F6" s="19">
        <v>0.25</v>
      </c>
      <c r="H6" s="32">
        <f>H5*(100%-I5)^0.5</f>
        <v>24.186773244895651</v>
      </c>
      <c r="I6" s="19">
        <v>0.35</v>
      </c>
    </row>
    <row r="7" spans="5:9" x14ac:dyDescent="0.25">
      <c r="E7" s="32">
        <f>E6*(100%-F6)^0.5</f>
        <v>20.287927444665215</v>
      </c>
      <c r="F7" s="19">
        <v>0.25</v>
      </c>
      <c r="H7" s="32">
        <f t="shared" ref="H7:H17" si="0">H6*(100%-I6)^0.5</f>
        <v>19.500000000000004</v>
      </c>
      <c r="I7" s="19">
        <v>0.35</v>
      </c>
    </row>
    <row r="8" spans="5:9" x14ac:dyDescent="0.25">
      <c r="E8" s="32">
        <f>E7*(100%-F7)^0.5</f>
        <v>17.569860557215588</v>
      </c>
      <c r="F8" s="19">
        <v>0.25</v>
      </c>
      <c r="H8" s="32">
        <f t="shared" si="0"/>
        <v>15.721402609182176</v>
      </c>
      <c r="I8" s="19">
        <v>0.35</v>
      </c>
    </row>
    <row r="9" spans="5:9" x14ac:dyDescent="0.25">
      <c r="E9" s="32">
        <f t="shared" ref="E9:E17" si="1">E8*(100%-F8)^0.5</f>
        <v>15.215945583498911</v>
      </c>
      <c r="F9" s="19">
        <v>0.25</v>
      </c>
      <c r="H9" s="32">
        <f t="shared" si="0"/>
        <v>12.675000000000004</v>
      </c>
      <c r="I9" s="19">
        <v>0.35</v>
      </c>
    </row>
    <row r="10" spans="5:9" x14ac:dyDescent="0.25">
      <c r="E10" s="32">
        <f t="shared" si="1"/>
        <v>13.17739541791169</v>
      </c>
      <c r="F10" s="19">
        <v>0.25</v>
      </c>
      <c r="H10" s="32">
        <f t="shared" si="0"/>
        <v>10.218911695968416</v>
      </c>
      <c r="I10" s="19">
        <v>0.35</v>
      </c>
    </row>
    <row r="11" spans="5:9" x14ac:dyDescent="0.25">
      <c r="E11" s="32">
        <f t="shared" si="1"/>
        <v>11.411959187624182</v>
      </c>
      <c r="F11" s="19">
        <v>0.25</v>
      </c>
      <c r="H11" s="32">
        <f t="shared" si="0"/>
        <v>8.2387500000000031</v>
      </c>
      <c r="I11" s="19">
        <v>0.35</v>
      </c>
    </row>
    <row r="12" spans="5:9" x14ac:dyDescent="0.25">
      <c r="E12" s="32">
        <f t="shared" si="1"/>
        <v>9.8830465634337656</v>
      </c>
      <c r="F12" s="19">
        <v>0.25</v>
      </c>
      <c r="H12" s="32">
        <f t="shared" si="0"/>
        <v>6.6422926023794702</v>
      </c>
      <c r="I12" s="19">
        <v>0.35</v>
      </c>
    </row>
    <row r="13" spans="5:9" x14ac:dyDescent="0.25">
      <c r="E13" s="32">
        <f t="shared" si="1"/>
        <v>8.5589693907181346</v>
      </c>
      <c r="F13" s="19">
        <v>0.25</v>
      </c>
      <c r="H13" s="32">
        <f t="shared" si="0"/>
        <v>5.3551875000000022</v>
      </c>
      <c r="I13" s="19">
        <v>0.35</v>
      </c>
    </row>
    <row r="14" spans="5:9" x14ac:dyDescent="0.25">
      <c r="E14" s="32">
        <f t="shared" si="1"/>
        <v>7.4122849225753225</v>
      </c>
      <c r="F14" s="19">
        <v>0.25</v>
      </c>
      <c r="H14" s="32">
        <f t="shared" si="0"/>
        <v>4.3174901915466561</v>
      </c>
      <c r="I14" s="19">
        <v>0.35</v>
      </c>
    </row>
    <row r="15" spans="5:9" x14ac:dyDescent="0.25">
      <c r="E15" s="32">
        <f t="shared" si="1"/>
        <v>6.4192270430385996</v>
      </c>
      <c r="F15" s="19">
        <v>0.25</v>
      </c>
      <c r="H15" s="32">
        <f t="shared" si="0"/>
        <v>3.4808718750000018</v>
      </c>
      <c r="I15" s="19">
        <v>0.35</v>
      </c>
    </row>
    <row r="16" spans="5:9" x14ac:dyDescent="0.25">
      <c r="E16" s="32">
        <f t="shared" si="1"/>
        <v>5.5592136919314914</v>
      </c>
      <c r="F16" s="19">
        <v>0.25</v>
      </c>
      <c r="H16" s="32">
        <f t="shared" si="0"/>
        <v>2.8063686245053265</v>
      </c>
      <c r="I16" s="19">
        <v>0.35</v>
      </c>
    </row>
    <row r="17" spans="5:9" x14ac:dyDescent="0.25">
      <c r="E17" s="32">
        <f t="shared" si="1"/>
        <v>4.8144202822789497</v>
      </c>
      <c r="F17" s="19">
        <v>0.25</v>
      </c>
      <c r="H17" s="32">
        <f t="shared" si="0"/>
        <v>2.2625667187500014</v>
      </c>
      <c r="I17" s="19">
        <v>0.35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workbookViewId="0">
      <selection activeCell="D25" sqref="D25"/>
    </sheetView>
  </sheetViews>
  <sheetFormatPr baseColWidth="10" defaultRowHeight="15" x14ac:dyDescent="0.25"/>
  <cols>
    <col min="2" max="2" width="38.5703125" bestFit="1" customWidth="1"/>
    <col min="3" max="3" width="8.28515625" bestFit="1" customWidth="1"/>
    <col min="4" max="4" width="93.5703125" bestFit="1" customWidth="1"/>
  </cols>
  <sheetData>
    <row r="3" spans="2:4" ht="15.75" thickBot="1" x14ac:dyDescent="0.3"/>
    <row r="4" spans="2:4" ht="22.5" thickTop="1" thickBot="1" x14ac:dyDescent="0.4">
      <c r="B4" s="59" t="s">
        <v>78</v>
      </c>
      <c r="C4" s="60"/>
      <c r="D4" s="61"/>
    </row>
    <row r="5" spans="2:4" ht="20.25" thickTop="1" thickBot="1" x14ac:dyDescent="0.35">
      <c r="B5" s="62"/>
      <c r="C5" s="62"/>
      <c r="D5" s="62"/>
    </row>
    <row r="6" spans="2:4" ht="19.5" thickTop="1" x14ac:dyDescent="0.3">
      <c r="B6" s="63" t="s">
        <v>10</v>
      </c>
      <c r="C6" s="64">
        <v>100000</v>
      </c>
      <c r="D6" s="65" t="s">
        <v>79</v>
      </c>
    </row>
    <row r="7" spans="2:4" ht="18.75" x14ac:dyDescent="0.3">
      <c r="B7" s="66" t="s">
        <v>80</v>
      </c>
      <c r="C7" s="67">
        <v>300000</v>
      </c>
      <c r="D7" s="39" t="s">
        <v>71</v>
      </c>
    </row>
    <row r="8" spans="2:4" ht="18.75" x14ac:dyDescent="0.3">
      <c r="B8" s="66" t="s">
        <v>81</v>
      </c>
      <c r="C8" s="67">
        <v>40000</v>
      </c>
      <c r="D8" s="39" t="s">
        <v>82</v>
      </c>
    </row>
    <row r="9" spans="2:4" ht="18.75" x14ac:dyDescent="0.3">
      <c r="B9" s="66" t="s">
        <v>83</v>
      </c>
      <c r="C9" s="67">
        <v>150000</v>
      </c>
      <c r="D9" s="39" t="s">
        <v>84</v>
      </c>
    </row>
    <row r="10" spans="2:4" ht="19.5" thickBot="1" x14ac:dyDescent="0.35">
      <c r="B10" s="68" t="s">
        <v>85</v>
      </c>
      <c r="C10" s="69">
        <v>60000</v>
      </c>
      <c r="D10" s="70" t="s">
        <v>86</v>
      </c>
    </row>
    <row r="11" spans="2:4" ht="19.5" thickBot="1" x14ac:dyDescent="0.35">
      <c r="B11" s="71" t="s">
        <v>87</v>
      </c>
      <c r="C11" s="72">
        <f>SUM(C6:C10)</f>
        <v>650000</v>
      </c>
      <c r="D11" s="73"/>
    </row>
    <row r="12" spans="2:4" ht="20.25" thickTop="1" thickBot="1" x14ac:dyDescent="0.35">
      <c r="B12" s="74"/>
      <c r="C12" s="74"/>
      <c r="D12" s="74"/>
    </row>
    <row r="13" spans="2:4" ht="19.5" thickBot="1" x14ac:dyDescent="0.35">
      <c r="B13" s="75" t="s">
        <v>88</v>
      </c>
      <c r="C13" s="76"/>
      <c r="D13" s="77"/>
    </row>
  </sheetData>
  <mergeCells count="3">
    <mergeCell ref="B4:D4"/>
    <mergeCell ref="B5:D5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Population </vt:lpstr>
      <vt:lpstr>Budget</vt:lpstr>
      <vt:lpstr>Coût 16</vt:lpstr>
      <vt:lpstr>coût 20</vt:lpstr>
      <vt:lpstr>Réductions</vt:lpstr>
      <vt:lpstr>infra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Baret</dc:creator>
  <cp:lastModifiedBy>Raphael Baret</cp:lastModifiedBy>
  <cp:lastPrinted>2013-03-20T09:40:41Z</cp:lastPrinted>
  <dcterms:created xsi:type="dcterms:W3CDTF">2013-03-18T12:53:35Z</dcterms:created>
  <dcterms:modified xsi:type="dcterms:W3CDTF">2013-04-10T07:40:52Z</dcterms:modified>
</cp:coreProperties>
</file>