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\AppData\Local\Microsoft\Windows\INetCache\Content.Outlook\TX2TFTKF\"/>
    </mc:Choice>
  </mc:AlternateContent>
  <bookViews>
    <workbookView xWindow="0" yWindow="0" windowWidth="23040" windowHeight="9408" activeTab="1"/>
  </bookViews>
  <sheets>
    <sheet name="mail Xav" sheetId="1" r:id="rId1"/>
    <sheet name="stock-besoins-expéditionsKZ" sheetId="3" r:id="rId2"/>
  </sheets>
  <definedNames>
    <definedName name="_xlnm._FilterDatabase" localSheetId="1" hidden="1">'stock-besoins-expéditionsKZ'!$A$3:$N$51</definedName>
    <definedName name="_xlnm.Print_Area" localSheetId="1">'stock-besoins-expéditionsKZ'!$A$1:$N$52</definedName>
    <definedName name="Z_C7FF0117_7811_4CD8_9F60_4BD4E0168F28_.wvu.Cols" localSheetId="1" hidden="1">'stock-besoins-expéditionsKZ'!$B:$D</definedName>
    <definedName name="Z_C7FF0117_7811_4CD8_9F60_4BD4E0168F28_.wvu.FilterData" localSheetId="1" hidden="1">'stock-besoins-expéditionsKZ'!$A$3:$N$51</definedName>
    <definedName name="Z_E59EAF28_6254_4405_9D60_06077A03253C_.wvu.FilterData" localSheetId="1" hidden="1">'stock-besoins-expéditionsKZ'!$A$3:$N$51</definedName>
  </definedNames>
  <calcPr calcId="152511"/>
  <customWorkbookViews>
    <customWorkbookView name="Danielle Vanoverschelde - Personal View" guid="{E59EAF28-6254-4405-9D60-06077A03253C}" mergeInterval="0" personalView="1" maximized="1" xWindow="-9" yWindow="-9" windowWidth="1384" windowHeight="738" activeSheetId="2"/>
    <customWorkbookView name="Sylvain Gehler - Personal View" guid="{C7FF0117-7811-4CD8-9F60-4BD4E0168F28}" mergeInterval="0" personalView="1" maximized="1" xWindow="-13" yWindow="-1453" windowWidth="2586" windowHeight="1370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O42" i="3" l="1"/>
  <c r="O37" i="3"/>
  <c r="O32" i="3"/>
  <c r="O27" i="3"/>
  <c r="O22" i="3"/>
  <c r="O17" i="3"/>
  <c r="O12" i="3"/>
  <c r="O7" i="3"/>
  <c r="M42" i="3"/>
  <c r="M37" i="3"/>
  <c r="M22" i="3"/>
  <c r="M12" i="3"/>
  <c r="I22" i="3" l="1"/>
  <c r="D19" i="3"/>
  <c r="L17" i="3"/>
  <c r="L12" i="3" l="1"/>
  <c r="K45" i="3" l="1"/>
  <c r="L42" i="3"/>
  <c r="H42" i="3"/>
  <c r="E42" i="3"/>
  <c r="I42" i="3" s="1"/>
  <c r="N42" i="3" s="1"/>
  <c r="D42" i="3"/>
  <c r="F42" i="3" s="1"/>
  <c r="C42" i="3"/>
  <c r="D40" i="3"/>
  <c r="L37" i="3"/>
  <c r="H37" i="3"/>
  <c r="C37" i="3"/>
  <c r="E37" i="3" s="1"/>
  <c r="I37" i="3" s="1"/>
  <c r="D35" i="3"/>
  <c r="D37" i="3" s="1"/>
  <c r="F37" i="3" s="1"/>
  <c r="H32" i="3"/>
  <c r="C32" i="3"/>
  <c r="E32" i="3" s="1"/>
  <c r="D30" i="3"/>
  <c r="D32" i="3" s="1"/>
  <c r="F32" i="3" s="1"/>
  <c r="H27" i="3"/>
  <c r="C27" i="3"/>
  <c r="E27" i="3" s="1"/>
  <c r="D25" i="3"/>
  <c r="D27" i="3" s="1"/>
  <c r="F27" i="3" s="1"/>
  <c r="L22" i="3"/>
  <c r="H22" i="3"/>
  <c r="C22" i="3"/>
  <c r="E22" i="3" s="1"/>
  <c r="D22" i="3"/>
  <c r="F22" i="3" s="1"/>
  <c r="H17" i="3"/>
  <c r="C17" i="3"/>
  <c r="E17" i="3" s="1"/>
  <c r="D17" i="3"/>
  <c r="F17" i="3" s="1"/>
  <c r="C12" i="3"/>
  <c r="E12" i="3" s="1"/>
  <c r="D10" i="3"/>
  <c r="D12" i="3" s="1"/>
  <c r="F12" i="3" s="1"/>
  <c r="L7" i="3"/>
  <c r="H7" i="3"/>
  <c r="C7" i="3"/>
  <c r="E7" i="3" s="1"/>
  <c r="D5" i="3"/>
  <c r="D7" i="3" s="1"/>
  <c r="G45" i="3" l="1"/>
  <c r="H12" i="3"/>
  <c r="H45" i="3" s="1"/>
  <c r="L45" i="3"/>
  <c r="J37" i="3"/>
  <c r="N37" i="3"/>
  <c r="J22" i="3"/>
  <c r="N22" i="3"/>
  <c r="F7" i="3"/>
  <c r="F45" i="3" s="1"/>
  <c r="F49" i="3" s="1"/>
  <c r="D45" i="3"/>
  <c r="E45" i="3"/>
  <c r="E49" i="3" s="1"/>
  <c r="I7" i="3"/>
  <c r="J42" i="3"/>
  <c r="C45" i="3"/>
  <c r="N12" i="3" l="1"/>
  <c r="J12" i="3"/>
  <c r="I45" i="3"/>
  <c r="J7" i="3"/>
  <c r="M7" i="3"/>
  <c r="M45" i="3" l="1"/>
  <c r="N7" i="3"/>
  <c r="N45" i="3" s="1"/>
  <c r="J45" i="3"/>
  <c r="S10" i="1"/>
  <c r="S15" i="1" l="1"/>
  <c r="S13" i="1"/>
  <c r="S11" i="1"/>
  <c r="S9" i="1"/>
  <c r="S8" i="1"/>
  <c r="S7" i="1"/>
  <c r="S6" i="1"/>
  <c r="S5" i="1"/>
  <c r="S4" i="1"/>
  <c r="S3" i="1"/>
  <c r="R13" i="1"/>
  <c r="V11" i="1"/>
  <c r="V12" i="1" s="1"/>
  <c r="K11" i="1"/>
  <c r="K15" i="1" s="1"/>
  <c r="J11" i="1"/>
  <c r="J15" i="1" s="1"/>
  <c r="I11" i="1"/>
  <c r="I15" i="1" s="1"/>
  <c r="H11" i="1"/>
  <c r="H15" i="1" s="1"/>
  <c r="G11" i="1"/>
  <c r="G15" i="1" s="1"/>
  <c r="F11" i="1"/>
  <c r="F15" i="1" s="1"/>
  <c r="C11" i="1"/>
  <c r="X10" i="1"/>
  <c r="R10" i="1"/>
  <c r="U10" i="1" s="1"/>
  <c r="X9" i="1"/>
  <c r="R9" i="1"/>
  <c r="U9" i="1" s="1"/>
  <c r="P8" i="1"/>
  <c r="P11" i="1" s="1"/>
  <c r="P15" i="1" s="1"/>
  <c r="O8" i="1"/>
  <c r="O11" i="1" s="1"/>
  <c r="O15" i="1" s="1"/>
  <c r="N8" i="1"/>
  <c r="N11" i="1" s="1"/>
  <c r="N15" i="1" s="1"/>
  <c r="M8" i="1"/>
  <c r="M11" i="1" s="1"/>
  <c r="M15" i="1" s="1"/>
  <c r="L8" i="1"/>
  <c r="R8" i="1" s="1"/>
  <c r="X7" i="1"/>
  <c r="T7" i="1"/>
  <c r="R7" i="1"/>
  <c r="U7" i="1" s="1"/>
  <c r="R6" i="1"/>
  <c r="T6" i="1" s="1"/>
  <c r="R5" i="1"/>
  <c r="T5" i="1" s="1"/>
  <c r="E5" i="1"/>
  <c r="E11" i="1" s="1"/>
  <c r="T4" i="1"/>
  <c r="R4" i="1"/>
  <c r="U4" i="1" s="1"/>
  <c r="T3" i="1"/>
  <c r="R3" i="1"/>
  <c r="U3" i="1" s="1"/>
  <c r="T8" i="1" l="1"/>
  <c r="U8" i="1"/>
  <c r="E15" i="1"/>
  <c r="X3" i="1"/>
  <c r="X4" i="1"/>
  <c r="U5" i="1"/>
  <c r="U6" i="1"/>
  <c r="X5" i="1"/>
  <c r="L11" i="1"/>
  <c r="L15" i="1" s="1"/>
  <c r="T9" i="1"/>
  <c r="T10" i="1"/>
  <c r="R11" i="1" l="1"/>
  <c r="X11" i="1"/>
  <c r="X12" i="1" s="1"/>
  <c r="R15" i="1"/>
  <c r="R16" i="1" s="1"/>
  <c r="T13" i="1" l="1"/>
  <c r="T12" i="1"/>
</calcChain>
</file>

<file path=xl/comments1.xml><?xml version="1.0" encoding="utf-8"?>
<comments xmlns="http://schemas.openxmlformats.org/spreadsheetml/2006/main">
  <authors>
    <author>Xavier Delarbre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Xavier Delarbre:</t>
        </r>
        <r>
          <rPr>
            <sz val="9"/>
            <color indexed="81"/>
            <rFont val="Tahoma"/>
            <family val="2"/>
          </rPr>
          <t xml:space="preserve">
15 lingots rachetés à UTEXAM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Xavier Delarbre:</t>
        </r>
        <r>
          <rPr>
            <sz val="9"/>
            <color indexed="81"/>
            <rFont val="Tahoma"/>
            <family val="2"/>
          </rPr>
          <t xml:space="preserve">
SWITCH vers ecoti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Xavier Delarbre:</t>
        </r>
        <r>
          <rPr>
            <sz val="9"/>
            <color indexed="81"/>
            <rFont val="Tahoma"/>
            <family val="2"/>
          </rPr>
          <t xml:space="preserve">
SWITCH vers ecoti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Xavier Delarbre:</t>
        </r>
        <r>
          <rPr>
            <sz val="9"/>
            <color indexed="81"/>
            <rFont val="Tahoma"/>
            <family val="2"/>
          </rPr>
          <t xml:space="preserve">
SWITCH vers ecoti
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Xavier Delarbre:</t>
        </r>
        <r>
          <rPr>
            <sz val="9"/>
            <color indexed="81"/>
            <rFont val="Tahoma"/>
            <family val="2"/>
          </rPr>
          <t xml:space="preserve">
SWITCH vers ecoti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Xavier Delarbre:</t>
        </r>
        <r>
          <rPr>
            <sz val="9"/>
            <color indexed="81"/>
            <rFont val="Tahoma"/>
            <family val="2"/>
          </rPr>
          <t xml:space="preserve">
SWITCH vers ecoti</t>
        </r>
      </text>
    </comment>
  </commentList>
</comments>
</file>

<file path=xl/sharedStrings.xml><?xml version="1.0" encoding="utf-8"?>
<sst xmlns="http://schemas.openxmlformats.org/spreadsheetml/2006/main" count="156" uniqueCount="91">
  <si>
    <t>pcs</t>
  </si>
  <si>
    <t>tonnage</t>
  </si>
  <si>
    <t>Fasteners</t>
  </si>
  <si>
    <t>Plymouth</t>
  </si>
  <si>
    <t xml:space="preserve"> </t>
  </si>
  <si>
    <t>total available</t>
  </si>
  <si>
    <t>Structures K05S - A05/08</t>
  </si>
  <si>
    <t>Structures K15S-A07</t>
  </si>
  <si>
    <t>(tous à 17,20)</t>
  </si>
  <si>
    <t>mt</t>
  </si>
  <si>
    <t xml:space="preserve">K25B </t>
  </si>
  <si>
    <t xml:space="preserve">K15S </t>
  </si>
  <si>
    <t>TOTAL</t>
  </si>
  <si>
    <t>Étiquettes de lignes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</si>
  <si>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</si>
  <si>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</si>
  <si>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</si>
  <si>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</si>
  <si>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</si>
  <si>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</si>
  <si>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</si>
  <si>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</si>
  <si>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</si>
  <si>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</si>
  <si>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</si>
  <si>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</si>
  <si>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</si>
  <si>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average/month</t>
  </si>
  <si>
    <t>TARGET SS</t>
  </si>
  <si>
    <t>STOCK REEL PRODUIT FIN OCT</t>
  </si>
  <si>
    <t>A PRODUIRE</t>
  </si>
  <si>
    <t>BétaShade2</t>
  </si>
  <si>
    <t>K05L</t>
  </si>
  <si>
    <t>Arconic</t>
  </si>
  <si>
    <t>K05S</t>
  </si>
  <si>
    <t>Structure A08</t>
  </si>
  <si>
    <t>Structure A07</t>
  </si>
  <si>
    <t>K05H</t>
  </si>
  <si>
    <t>BétaShade1</t>
  </si>
  <si>
    <t>K05A</t>
  </si>
  <si>
    <t>Safran-Snecma</t>
  </si>
  <si>
    <t>?</t>
  </si>
  <si>
    <t>K05F</t>
  </si>
  <si>
    <t>NB LINGOT</t>
  </si>
  <si>
    <t>T LINGOT</t>
  </si>
  <si>
    <t>lingot à acheter à UTEXAM</t>
  </si>
  <si>
    <t>pincipalement Sh1</t>
  </si>
  <si>
    <t>nb lingot</t>
  </si>
  <si>
    <t>t lingot</t>
  </si>
  <si>
    <t>ELI mettis pas de prevision</t>
  </si>
  <si>
    <t>email Xav du 22nov</t>
  </si>
  <si>
    <t>total pcs</t>
  </si>
  <si>
    <t>total mt</t>
  </si>
  <si>
    <t>conso UKAD Dec 2018</t>
  </si>
  <si>
    <t>total available beg 2019</t>
  </si>
  <si>
    <t>nvelle spec qualif Métis</t>
  </si>
  <si>
    <t>(dont 7  à 17,20)</t>
  </si>
  <si>
    <t>surplus de 223mt</t>
  </si>
  <si>
    <t>rien</t>
  </si>
  <si>
    <t>Béta Shade 2 - K25B</t>
  </si>
  <si>
    <t>Eli - K23A</t>
  </si>
  <si>
    <t>Arconic (Alcoa) - K05L</t>
  </si>
  <si>
    <t>Safran-snecma - K05A</t>
  </si>
  <si>
    <t xml:space="preserve">surplus de 7,24t </t>
  </si>
  <si>
    <t>Struct.K05S - A05/08</t>
  </si>
  <si>
    <t>Struct. K15S-A07</t>
  </si>
  <si>
    <t>BétaSh2 - K25B</t>
  </si>
  <si>
    <t>Arconic - K05L</t>
  </si>
  <si>
    <t>Plymouth - K05H</t>
  </si>
  <si>
    <t>Safran-Snecma - K05A</t>
  </si>
  <si>
    <t>surplus 7,24t  qualif Métis</t>
  </si>
  <si>
    <t>(dont 15  à 17,20)</t>
  </si>
  <si>
    <t xml:space="preserve">K15B </t>
  </si>
  <si>
    <t>ex Kz pour couvrir</t>
  </si>
  <si>
    <t>besoins 2019</t>
  </si>
  <si>
    <t>ex Kaz à prévoir</t>
  </si>
  <si>
    <t>à revoir et tenir à l'oeil mi 2019</t>
  </si>
  <si>
    <t>(pdt fini 300mt)</t>
  </si>
  <si>
    <t>pour stock tampon  early 2020</t>
  </si>
  <si>
    <t>TOTAL EX KZ</t>
  </si>
  <si>
    <t>conf call</t>
  </si>
  <si>
    <t>stock end 2018</t>
  </si>
  <si>
    <t>+3 lingots conversion</t>
  </si>
  <si>
    <t>stock/transit 14/Dec</t>
  </si>
  <si>
    <t xml:space="preserve">Cut off 14 Dec' 2018 </t>
  </si>
  <si>
    <t>livraison 17 Dec 2018</t>
  </si>
  <si>
    <t>Gran-total stock end Dec</t>
  </si>
  <si>
    <t>total available end Dec 2018</t>
  </si>
  <si>
    <t xml:space="preserve">besoins UKAD 2019 </t>
  </si>
  <si>
    <t>à livrer si posisble direct sur UKAD avant Noël sous proforma, facturation UKAd le 7 janvier</t>
  </si>
  <si>
    <t>(261 - 10snecma)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</si>
</sst>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Fill="1" applyBorder="1"/>
    <xf numFmtId="0" fontId="0" fillId="0" borderId="0" xfId="0" applyFill="1" applyBorder="1"/>
    <xf numFmtId="0" fontId="1" fillId="0" borderId="3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0" fillId="0" borderId="3" xfId="0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8" fillId="0" borderId="0" xfId="0" applyFont="1"/>
    <xf numFmtId="0" fontId="9" fillId="0" borderId="3" xfId="0" quotePrefix="1" applyFont="1" applyBorder="1"/>
    <xf numFmtId="0" fontId="0" fillId="0" borderId="1" xfId="0" applyFill="1" applyBorder="1"/>
    <xf numFmtId="0" fontId="4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/>
    </xf>
    <xf numFmtId="0" fontId="1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" fontId="0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5" borderId="0" xfId="0" quotePrefix="1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0" fillId="0" borderId="6" xfId="0" applyNumberFormat="1" applyBorder="1"/>
    <xf numFmtId="0" fontId="0" fillId="0" borderId="6" xfId="0" applyBorder="1"/>
    <xf numFmtId="0" fontId="0" fillId="6" borderId="0" xfId="0" applyFill="1" applyAlignment="1">
      <alignment horizontal="center"/>
    </xf>
    <xf numFmtId="0" fontId="0" fillId="6" borderId="0" xfId="0" applyFill="1"/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164" fontId="0" fillId="4" borderId="6" xfId="0" applyNumberFormat="1" applyFill="1" applyBorder="1"/>
    <xf numFmtId="0" fontId="5" fillId="0" borderId="0" xfId="0" applyFont="1"/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Border="1"/>
    <xf numFmtId="0" fontId="0" fillId="6" borderId="6" xfId="0" applyFill="1" applyBorder="1"/>
    <xf numFmtId="164" fontId="0" fillId="0" borderId="0" xfId="0" applyNumberFormat="1"/>
    <xf numFmtId="164" fontId="0" fillId="4" borderId="0" xfId="0" applyNumberFormat="1" applyFill="1" applyBorder="1"/>
    <xf numFmtId="0" fontId="0" fillId="6" borderId="0" xfId="0" applyFill="1" applyBorder="1"/>
    <xf numFmtId="0" fontId="9" fillId="7" borderId="3" xfId="0" quotePrefix="1" applyFont="1" applyFill="1" applyBorder="1"/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9" xfId="0" applyBorder="1"/>
    <xf numFmtId="0" fontId="0" fillId="0" borderId="10" xfId="0" applyBorder="1"/>
    <xf numFmtId="0" fontId="16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1" fontId="19" fillId="0" borderId="0" xfId="0" applyNumberFormat="1" applyFont="1" applyFill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18" fillId="4" borderId="0" xfId="0" applyFont="1" applyFill="1"/>
    <xf numFmtId="0" fontId="18" fillId="4" borderId="0" xfId="0" applyFont="1" applyFill="1" applyAlignment="1">
      <alignment horizontal="center" vertical="center"/>
    </xf>
    <xf numFmtId="0" fontId="18" fillId="4" borderId="0" xfId="0" quotePrefix="1" applyFont="1" applyFill="1" applyAlignment="1">
      <alignment horizontal="right" vertical="center"/>
    </xf>
    <xf numFmtId="0" fontId="18" fillId="4" borderId="0" xfId="0" applyFont="1" applyFill="1" applyAlignment="1">
      <alignment horizontal="center"/>
    </xf>
    <xf numFmtId="1" fontId="18" fillId="4" borderId="0" xfId="0" applyNumberFormat="1" applyFont="1" applyFill="1" applyAlignment="1">
      <alignment horizontal="center"/>
    </xf>
    <xf numFmtId="0" fontId="18" fillId="4" borderId="0" xfId="0" applyFont="1" applyFill="1" applyAlignment="1">
      <alignment horizontal="right" vertical="center"/>
    </xf>
    <xf numFmtId="2" fontId="0" fillId="0" borderId="0" xfId="0" applyNumberForma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8" fillId="0" borderId="12" xfId="0" quotePrefix="1" applyFont="1" applyBorder="1"/>
    <xf numFmtId="1" fontId="8" fillId="0" borderId="12" xfId="0" applyNumberFormat="1" applyFont="1" applyBorder="1"/>
    <xf numFmtId="0" fontId="0" fillId="0" borderId="11" xfId="0" quotePrefix="1" applyFill="1" applyBorder="1" applyAlignment="1">
      <alignment horizontal="right"/>
    </xf>
    <xf numFmtId="0" fontId="8" fillId="0" borderId="12" xfId="0" applyFont="1" applyFill="1" applyBorder="1"/>
    <xf numFmtId="1" fontId="7" fillId="0" borderId="9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" fillId="0" borderId="11" xfId="0" applyFont="1" applyBorder="1"/>
    <xf numFmtId="0" fontId="1" fillId="0" borderId="12" xfId="0" applyFont="1" applyBorder="1"/>
    <xf numFmtId="1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2" fontId="18" fillId="0" borderId="11" xfId="0" quotePrefix="1" applyNumberFormat="1" applyFont="1" applyBorder="1"/>
    <xf numFmtId="1" fontId="0" fillId="0" borderId="12" xfId="0" applyNumberForma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1" xfId="0" applyFont="1" applyBorder="1"/>
    <xf numFmtId="0" fontId="16" fillId="0" borderId="12" xfId="0" applyFont="1" applyBorder="1"/>
    <xf numFmtId="1" fontId="16" fillId="0" borderId="11" xfId="0" applyNumberFormat="1" applyFont="1" applyBorder="1" applyAlignment="1">
      <alignment horizontal="center"/>
    </xf>
    <xf numFmtId="1" fontId="16" fillId="0" borderId="12" xfId="0" applyNumberFormat="1" applyFont="1" applyBorder="1" applyAlignment="1">
      <alignment horizontal="center"/>
    </xf>
    <xf numFmtId="0" fontId="16" fillId="0" borderId="11" xfId="0" applyFont="1" applyFill="1" applyBorder="1"/>
    <xf numFmtId="0" fontId="16" fillId="0" borderId="12" xfId="0" applyFont="1" applyFill="1" applyBorder="1"/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8"/>
  <sheetViews>
    <sheetView topLeftCell="C1" workbookViewId="0">
      <selection activeCell="R16" sqref="R16"/>
    </sheetView>
  </sheetViews>
  <sheetFormatPr defaultColWidth="11.5546875" defaultRowHeight="14.4" x14ac:dyDescent="0.3"/>
  <cols>
    <col min="1" max="2" width="13.5546875" customWidth="1"/>
    <col min="17" max="17" width="13.44140625" customWidth="1"/>
    <col min="20" max="20" width="13.6640625" style="34" customWidth="1"/>
    <col min="23" max="23" width="10" customWidth="1"/>
  </cols>
  <sheetData>
    <row r="1" spans="1:24" ht="19.8" customHeight="1" x14ac:dyDescent="0.3">
      <c r="A1" t="s">
        <v>50</v>
      </c>
    </row>
    <row r="2" spans="1:24" ht="27" customHeight="1" x14ac:dyDescent="0.3">
      <c r="A2" t="s">
        <v>13</v>
      </c>
      <c r="C2" s="37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R2" s="38" t="s">
        <v>51</v>
      </c>
      <c r="S2" s="38" t="s">
        <v>52</v>
      </c>
      <c r="T2" s="34" t="s">
        <v>27</v>
      </c>
      <c r="V2" t="s">
        <v>28</v>
      </c>
      <c r="W2" s="39" t="s">
        <v>29</v>
      </c>
      <c r="X2" t="s">
        <v>30</v>
      </c>
    </row>
    <row r="3" spans="1:24" x14ac:dyDescent="0.3">
      <c r="A3" s="1" t="s">
        <v>10</v>
      </c>
      <c r="B3" s="1" t="s">
        <v>31</v>
      </c>
      <c r="C3" s="40">
        <v>5</v>
      </c>
      <c r="D3" s="40"/>
      <c r="E3" s="40">
        <v>3</v>
      </c>
      <c r="F3" s="40">
        <v>4</v>
      </c>
      <c r="G3" s="40">
        <v>0</v>
      </c>
      <c r="H3" s="40">
        <v>8</v>
      </c>
      <c r="I3" s="40">
        <v>3</v>
      </c>
      <c r="J3" s="40">
        <v>1</v>
      </c>
      <c r="K3" s="40">
        <v>3</v>
      </c>
      <c r="L3" s="40">
        <v>1</v>
      </c>
      <c r="M3" s="40">
        <v>0</v>
      </c>
      <c r="N3" s="40">
        <v>3</v>
      </c>
      <c r="O3" s="40">
        <v>7</v>
      </c>
      <c r="P3" s="40">
        <v>5</v>
      </c>
      <c r="Q3" s="1" t="s">
        <v>31</v>
      </c>
      <c r="R3" s="41">
        <f>SUM(E3:P3)</f>
        <v>38</v>
      </c>
      <c r="S3" s="41">
        <f t="shared" ref="S3:S11" si="0">R3*7.284</f>
        <v>276.79199999999997</v>
      </c>
      <c r="T3" s="42">
        <f>R3/12</f>
        <v>3.1666666666666665</v>
      </c>
      <c r="U3">
        <f>+R3*5200</f>
        <v>197600</v>
      </c>
      <c r="V3" s="34">
        <v>6</v>
      </c>
      <c r="W3">
        <v>13</v>
      </c>
      <c r="X3" s="41">
        <f>+R3-W3+V3</f>
        <v>31</v>
      </c>
    </row>
    <row r="4" spans="1:24" x14ac:dyDescent="0.3">
      <c r="A4" s="1" t="s">
        <v>32</v>
      </c>
      <c r="B4" s="1" t="s">
        <v>33</v>
      </c>
      <c r="C4" s="40">
        <v>0</v>
      </c>
      <c r="D4" s="40"/>
      <c r="E4" s="40">
        <v>3</v>
      </c>
      <c r="F4" s="40">
        <v>2</v>
      </c>
      <c r="G4" s="40">
        <v>3</v>
      </c>
      <c r="H4" s="40">
        <v>6</v>
      </c>
      <c r="I4" s="40">
        <v>3</v>
      </c>
      <c r="J4" s="40">
        <v>2</v>
      </c>
      <c r="K4" s="40">
        <v>3</v>
      </c>
      <c r="L4" s="40">
        <v>0</v>
      </c>
      <c r="M4" s="40">
        <v>0</v>
      </c>
      <c r="N4" s="40">
        <v>0</v>
      </c>
      <c r="O4" s="40">
        <v>2</v>
      </c>
      <c r="P4" s="40">
        <v>0</v>
      </c>
      <c r="Q4" s="1" t="s">
        <v>33</v>
      </c>
      <c r="R4" s="41">
        <f t="shared" ref="R4:R10" si="1">SUM(E4:P4)</f>
        <v>24</v>
      </c>
      <c r="S4" s="41">
        <f t="shared" si="0"/>
        <v>174.816</v>
      </c>
      <c r="T4" s="40">
        <f t="shared" ref="T4:T10" si="2">R4/12</f>
        <v>2</v>
      </c>
      <c r="U4">
        <f t="shared" ref="U4:U9" si="3">+R4*5200</f>
        <v>124800</v>
      </c>
      <c r="V4" s="34">
        <v>5</v>
      </c>
      <c r="W4">
        <v>15</v>
      </c>
      <c r="X4" s="41">
        <f>+R4-W4+V4</f>
        <v>14</v>
      </c>
    </row>
    <row r="5" spans="1:24" x14ac:dyDescent="0.3">
      <c r="A5" s="43" t="s">
        <v>34</v>
      </c>
      <c r="B5" s="43" t="s">
        <v>35</v>
      </c>
      <c r="C5" s="40">
        <v>29</v>
      </c>
      <c r="D5" s="40"/>
      <c r="E5" s="44">
        <f>21-15</f>
        <v>6</v>
      </c>
      <c r="F5" s="40">
        <v>26</v>
      </c>
      <c r="G5" s="40">
        <v>19</v>
      </c>
      <c r="H5" s="40">
        <v>29</v>
      </c>
      <c r="I5" s="40">
        <v>10</v>
      </c>
      <c r="J5" s="40">
        <v>32</v>
      </c>
      <c r="K5" s="40">
        <v>26</v>
      </c>
      <c r="L5" s="40">
        <v>18</v>
      </c>
      <c r="M5" s="40">
        <v>10</v>
      </c>
      <c r="N5" s="40">
        <v>28</v>
      </c>
      <c r="O5" s="40">
        <v>27</v>
      </c>
      <c r="P5" s="40">
        <v>30</v>
      </c>
      <c r="Q5" s="43" t="s">
        <v>35</v>
      </c>
      <c r="R5" s="41">
        <f t="shared" si="1"/>
        <v>261</v>
      </c>
      <c r="S5" s="41">
        <f t="shared" si="0"/>
        <v>1901.124</v>
      </c>
      <c r="T5" s="40">
        <f t="shared" si="2"/>
        <v>21.75</v>
      </c>
      <c r="U5">
        <f t="shared" si="3"/>
        <v>1357200</v>
      </c>
      <c r="V5" s="34">
        <v>50</v>
      </c>
      <c r="W5">
        <v>30</v>
      </c>
      <c r="X5" s="41">
        <f t="shared" ref="X5:X10" si="4">+R5-W5+V5</f>
        <v>281</v>
      </c>
    </row>
    <row r="6" spans="1:24" x14ac:dyDescent="0.3">
      <c r="A6" s="1" t="s">
        <v>11</v>
      </c>
      <c r="B6" s="1" t="s">
        <v>36</v>
      </c>
      <c r="C6" s="40">
        <v>1</v>
      </c>
      <c r="D6" s="40"/>
      <c r="E6" s="40">
        <v>3</v>
      </c>
      <c r="F6" s="40">
        <v>4</v>
      </c>
      <c r="G6" s="40">
        <v>2</v>
      </c>
      <c r="H6" s="40">
        <v>4</v>
      </c>
      <c r="I6" s="40">
        <v>3</v>
      </c>
      <c r="J6" s="40">
        <v>4</v>
      </c>
      <c r="K6" s="40">
        <v>3</v>
      </c>
      <c r="L6" s="40">
        <v>4</v>
      </c>
      <c r="M6" s="40">
        <v>2</v>
      </c>
      <c r="N6" s="40">
        <v>2</v>
      </c>
      <c r="O6" s="40">
        <v>0</v>
      </c>
      <c r="P6" s="40">
        <v>1</v>
      </c>
      <c r="Q6" s="1" t="s">
        <v>36</v>
      </c>
      <c r="R6" s="41">
        <f t="shared" si="1"/>
        <v>32</v>
      </c>
      <c r="S6" s="41">
        <f t="shared" si="0"/>
        <v>233.08799999999999</v>
      </c>
      <c r="T6" s="40">
        <f t="shared" si="2"/>
        <v>2.6666666666666665</v>
      </c>
      <c r="U6">
        <f t="shared" si="3"/>
        <v>166400</v>
      </c>
      <c r="V6" s="34">
        <v>7</v>
      </c>
      <c r="W6">
        <v>64</v>
      </c>
      <c r="X6" s="41">
        <v>0</v>
      </c>
    </row>
    <row r="7" spans="1:24" x14ac:dyDescent="0.3">
      <c r="A7" s="1" t="s">
        <v>37</v>
      </c>
      <c r="B7" s="1" t="s">
        <v>3</v>
      </c>
      <c r="C7" s="40">
        <v>0</v>
      </c>
      <c r="D7" s="40"/>
      <c r="E7" s="40">
        <v>3</v>
      </c>
      <c r="F7" s="40">
        <v>0</v>
      </c>
      <c r="G7" s="40">
        <v>2</v>
      </c>
      <c r="H7" s="40">
        <v>0</v>
      </c>
      <c r="I7" s="40">
        <v>3</v>
      </c>
      <c r="J7" s="40">
        <v>0</v>
      </c>
      <c r="K7" s="40">
        <v>3</v>
      </c>
      <c r="L7" s="40">
        <v>0</v>
      </c>
      <c r="M7" s="40">
        <v>3</v>
      </c>
      <c r="N7" s="40">
        <v>2</v>
      </c>
      <c r="O7" s="40">
        <v>5</v>
      </c>
      <c r="P7" s="40">
        <v>4</v>
      </c>
      <c r="Q7" s="1" t="s">
        <v>3</v>
      </c>
      <c r="R7" s="41">
        <f t="shared" si="1"/>
        <v>25</v>
      </c>
      <c r="S7" s="41">
        <f t="shared" si="0"/>
        <v>182.1</v>
      </c>
      <c r="T7" s="40">
        <f t="shared" si="2"/>
        <v>2.0833333333333335</v>
      </c>
      <c r="U7">
        <f t="shared" si="3"/>
        <v>130000</v>
      </c>
      <c r="V7" s="34">
        <v>6</v>
      </c>
      <c r="W7">
        <v>4</v>
      </c>
      <c r="X7" s="41">
        <f t="shared" si="4"/>
        <v>27</v>
      </c>
    </row>
    <row r="8" spans="1:24" x14ac:dyDescent="0.3">
      <c r="A8" s="35" t="s">
        <v>72</v>
      </c>
      <c r="B8" s="35" t="s">
        <v>38</v>
      </c>
      <c r="C8" s="40">
        <v>2</v>
      </c>
      <c r="D8" s="40"/>
      <c r="E8" s="44">
        <v>3</v>
      </c>
      <c r="F8" s="44">
        <v>2</v>
      </c>
      <c r="G8" s="44">
        <v>3</v>
      </c>
      <c r="H8" s="44">
        <v>5</v>
      </c>
      <c r="I8" s="44">
        <v>4</v>
      </c>
      <c r="J8" s="44">
        <v>4</v>
      </c>
      <c r="K8" s="44">
        <v>4</v>
      </c>
      <c r="L8" s="44">
        <f>3-1</f>
        <v>2</v>
      </c>
      <c r="M8" s="44">
        <f>3-1</f>
        <v>2</v>
      </c>
      <c r="N8" s="44">
        <f>4-2</f>
        <v>2</v>
      </c>
      <c r="O8" s="44">
        <f>3-2</f>
        <v>1</v>
      </c>
      <c r="P8" s="44">
        <f>2-1</f>
        <v>1</v>
      </c>
      <c r="Q8" s="35" t="s">
        <v>38</v>
      </c>
      <c r="R8" s="41">
        <f t="shared" si="1"/>
        <v>33</v>
      </c>
      <c r="S8" s="41">
        <f t="shared" si="0"/>
        <v>240.37199999999999</v>
      </c>
      <c r="T8" s="40">
        <f t="shared" si="2"/>
        <v>2.75</v>
      </c>
      <c r="U8">
        <f t="shared" si="3"/>
        <v>171600</v>
      </c>
      <c r="V8" s="34"/>
      <c r="X8" s="41"/>
    </row>
    <row r="9" spans="1:24" x14ac:dyDescent="0.3">
      <c r="A9" s="43" t="s">
        <v>39</v>
      </c>
      <c r="B9" s="43" t="s">
        <v>40</v>
      </c>
      <c r="C9" s="40"/>
      <c r="D9" s="40"/>
      <c r="E9" s="40">
        <v>3</v>
      </c>
      <c r="F9" s="40">
        <v>6</v>
      </c>
      <c r="G9" s="40">
        <v>7</v>
      </c>
      <c r="H9" s="40">
        <v>7</v>
      </c>
      <c r="I9" s="40" t="s">
        <v>41</v>
      </c>
      <c r="J9" s="40"/>
      <c r="K9" s="40"/>
      <c r="L9" s="40"/>
      <c r="M9" s="40"/>
      <c r="N9" s="45"/>
      <c r="O9" s="46"/>
      <c r="P9" s="40"/>
      <c r="Q9" s="43" t="s">
        <v>40</v>
      </c>
      <c r="R9" s="41">
        <f t="shared" si="1"/>
        <v>23</v>
      </c>
      <c r="S9" s="41">
        <f t="shared" si="0"/>
        <v>167.53199999999998</v>
      </c>
      <c r="T9" s="40">
        <f t="shared" si="2"/>
        <v>1.9166666666666667</v>
      </c>
      <c r="U9">
        <f t="shared" si="3"/>
        <v>119600</v>
      </c>
      <c r="V9" s="34">
        <v>14</v>
      </c>
      <c r="W9">
        <v>13</v>
      </c>
      <c r="X9" s="41">
        <f t="shared" si="4"/>
        <v>24</v>
      </c>
    </row>
    <row r="10" spans="1:24" x14ac:dyDescent="0.3">
      <c r="A10" s="43" t="s">
        <v>42</v>
      </c>
      <c r="B10" s="43" t="s">
        <v>2</v>
      </c>
      <c r="C10" s="40"/>
      <c r="D10" s="40"/>
      <c r="E10" s="47">
        <v>4</v>
      </c>
      <c r="F10" s="47">
        <v>4</v>
      </c>
      <c r="G10" s="47">
        <v>8</v>
      </c>
      <c r="H10" s="47">
        <v>4</v>
      </c>
      <c r="I10" s="47">
        <v>8</v>
      </c>
      <c r="J10" s="47">
        <v>8</v>
      </c>
      <c r="K10" s="47">
        <v>8</v>
      </c>
      <c r="L10" s="47">
        <v>8</v>
      </c>
      <c r="M10" s="47">
        <v>8</v>
      </c>
      <c r="N10" s="48">
        <v>8</v>
      </c>
      <c r="O10" s="49">
        <v>8</v>
      </c>
      <c r="P10" s="47">
        <v>8</v>
      </c>
      <c r="Q10" s="43" t="s">
        <v>2</v>
      </c>
      <c r="R10" s="41">
        <f t="shared" si="1"/>
        <v>84</v>
      </c>
      <c r="S10" s="41">
        <f>R10*7.284</f>
        <v>611.85599999999999</v>
      </c>
      <c r="T10" s="40">
        <f t="shared" si="2"/>
        <v>7</v>
      </c>
      <c r="U10">
        <f>+R10*6000</f>
        <v>504000</v>
      </c>
      <c r="V10" s="34">
        <v>16</v>
      </c>
      <c r="W10">
        <v>28</v>
      </c>
      <c r="X10" s="41">
        <f t="shared" si="4"/>
        <v>72</v>
      </c>
    </row>
    <row r="11" spans="1:24" x14ac:dyDescent="0.3">
      <c r="A11" s="38" t="s">
        <v>12</v>
      </c>
      <c r="B11" s="38"/>
      <c r="C11" s="50">
        <f>SUM(C3:C10)</f>
        <v>37</v>
      </c>
      <c r="D11" s="40"/>
      <c r="E11" s="40">
        <f t="shared" ref="E11:P11" si="5">SUM(E3:E10)</f>
        <v>28</v>
      </c>
      <c r="F11" s="40">
        <f t="shared" si="5"/>
        <v>48</v>
      </c>
      <c r="G11" s="40">
        <f t="shared" si="5"/>
        <v>44</v>
      </c>
      <c r="H11" s="40">
        <f t="shared" si="5"/>
        <v>63</v>
      </c>
      <c r="I11" s="40">
        <f t="shared" si="5"/>
        <v>34</v>
      </c>
      <c r="J11" s="40">
        <f t="shared" si="5"/>
        <v>51</v>
      </c>
      <c r="K11" s="40">
        <f t="shared" si="5"/>
        <v>50</v>
      </c>
      <c r="L11" s="40">
        <f t="shared" si="5"/>
        <v>33</v>
      </c>
      <c r="M11" s="40">
        <f t="shared" si="5"/>
        <v>25</v>
      </c>
      <c r="N11" s="40">
        <f t="shared" si="5"/>
        <v>45</v>
      </c>
      <c r="O11" s="40">
        <f t="shared" si="5"/>
        <v>50</v>
      </c>
      <c r="P11" s="40">
        <f t="shared" si="5"/>
        <v>49</v>
      </c>
      <c r="Q11" t="s">
        <v>43</v>
      </c>
      <c r="R11" s="51">
        <f>SUM(E11:P11)</f>
        <v>520</v>
      </c>
      <c r="S11" s="41">
        <f t="shared" si="0"/>
        <v>3787.68</v>
      </c>
      <c r="V11" s="52">
        <f>SUM(V3:V10)</f>
        <v>104</v>
      </c>
      <c r="X11" s="51">
        <f>SUM(X3:X10)</f>
        <v>449</v>
      </c>
    </row>
    <row r="12" spans="1:24" x14ac:dyDescent="0.3"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t="s">
        <v>44</v>
      </c>
      <c r="T12" s="53">
        <f>R11*7.2</f>
        <v>3744</v>
      </c>
      <c r="V12" s="54">
        <f>V11*7.2</f>
        <v>748.80000000000007</v>
      </c>
      <c r="X12" s="54">
        <f>X11*7.2</f>
        <v>3232.8</v>
      </c>
    </row>
    <row r="13" spans="1:24" x14ac:dyDescent="0.3">
      <c r="A13" s="55" t="s">
        <v>45</v>
      </c>
      <c r="B13" s="56"/>
      <c r="C13" s="57">
        <v>2</v>
      </c>
      <c r="D13" s="57"/>
      <c r="E13" s="58">
        <v>18</v>
      </c>
      <c r="F13" s="58">
        <v>2</v>
      </c>
      <c r="G13" s="58">
        <v>3</v>
      </c>
      <c r="H13" s="58">
        <v>5</v>
      </c>
      <c r="I13" s="58">
        <v>4</v>
      </c>
      <c r="J13" s="58">
        <v>4</v>
      </c>
      <c r="K13" s="58">
        <v>4</v>
      </c>
      <c r="L13" s="58">
        <v>2</v>
      </c>
      <c r="M13" s="58">
        <v>3</v>
      </c>
      <c r="N13" s="58">
        <v>2</v>
      </c>
      <c r="O13" s="59">
        <v>1</v>
      </c>
      <c r="P13" s="59">
        <v>1</v>
      </c>
      <c r="Q13" t="s">
        <v>46</v>
      </c>
      <c r="R13" s="60">
        <f>SUM(E13:Q13)</f>
        <v>49</v>
      </c>
      <c r="S13" s="66">
        <f>R13*7.284</f>
        <v>356.916</v>
      </c>
      <c r="T13" s="34">
        <f>R11*5200</f>
        <v>2704000</v>
      </c>
    </row>
    <row r="14" spans="1:24" x14ac:dyDescent="0.3">
      <c r="B14" s="61" t="s">
        <v>4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24" x14ac:dyDescent="0.3">
      <c r="A15" s="38" t="s">
        <v>12</v>
      </c>
      <c r="B15" s="38"/>
      <c r="C15" s="34"/>
      <c r="D15" s="34"/>
      <c r="E15" s="62">
        <f>+E11-E13</f>
        <v>10</v>
      </c>
      <c r="F15" s="62">
        <f t="shared" ref="F15:P15" si="6">+F11-F13</f>
        <v>46</v>
      </c>
      <c r="G15" s="62">
        <f t="shared" si="6"/>
        <v>41</v>
      </c>
      <c r="H15" s="62">
        <f t="shared" si="6"/>
        <v>58</v>
      </c>
      <c r="I15" s="62">
        <f t="shared" si="6"/>
        <v>30</v>
      </c>
      <c r="J15" s="62">
        <f t="shared" si="6"/>
        <v>47</v>
      </c>
      <c r="K15" s="62">
        <f t="shared" si="6"/>
        <v>46</v>
      </c>
      <c r="L15" s="62">
        <f t="shared" si="6"/>
        <v>31</v>
      </c>
      <c r="M15" s="62">
        <f t="shared" si="6"/>
        <v>22</v>
      </c>
      <c r="N15" s="62">
        <f t="shared" si="6"/>
        <v>43</v>
      </c>
      <c r="O15" s="62">
        <f t="shared" si="6"/>
        <v>49</v>
      </c>
      <c r="P15" s="62">
        <f t="shared" si="6"/>
        <v>48</v>
      </c>
      <c r="Q15" t="s">
        <v>47</v>
      </c>
      <c r="R15" s="63">
        <f>SUM(E15:Q15)</f>
        <v>471</v>
      </c>
      <c r="S15" s="41">
        <f>R15*7.284</f>
        <v>3430.7640000000001</v>
      </c>
    </row>
    <row r="16" spans="1:24" x14ac:dyDescent="0.3">
      <c r="Q16" t="s">
        <v>48</v>
      </c>
      <c r="R16" s="64">
        <f>+R15*7.2</f>
        <v>3391.2000000000003</v>
      </c>
      <c r="S16" s="67"/>
    </row>
    <row r="17" spans="1:19" x14ac:dyDescent="0.3">
      <c r="R17" s="65"/>
      <c r="S17" s="65"/>
    </row>
    <row r="18" spans="1:19" x14ac:dyDescent="0.3">
      <c r="A18" s="38" t="s">
        <v>49</v>
      </c>
      <c r="B18" s="38"/>
    </row>
  </sheetData>
  <customSheetViews>
    <customSheetView guid="{E59EAF28-6254-4405-9D60-06077A03253C}">
      <selection activeCell="D2" sqref="D2:D1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&amp;R&amp;Z&amp;F</oddFooter>
      </headerFooter>
    </customSheetView>
    <customSheetView guid="{C7FF0117-7811-4CD8-9F60-4BD4E0168F28}">
      <selection activeCell="D2" sqref="D2:D1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&amp;R&amp;Z&amp;F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3"/>
  <headerFooter>
    <oddFooter>&amp;R&amp;Z&amp;F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topLeftCell="B1" zoomScale="90" zoomScaleNormal="90" zoomScaleSheetLayoutView="90" workbookViewId="0">
      <selection activeCell="I12" sqref="I12"/>
    </sheetView>
  </sheetViews>
  <sheetFormatPr defaultColWidth="9.109375" defaultRowHeight="14.4" x14ac:dyDescent="0.3"/>
  <cols>
    <col min="1" max="1" width="21.5546875" customWidth="1"/>
    <col min="2" max="2" width="34.5546875" customWidth="1"/>
    <col min="3" max="4" width="9.109375" style="1" customWidth="1"/>
    <col min="5" max="6" width="17.33203125" style="25" customWidth="1"/>
    <col min="7" max="8" width="17.33203125" style="29" customWidth="1"/>
    <col min="9" max="10" width="17.33203125" style="27" customWidth="1"/>
    <col min="11" max="11" width="13.21875" customWidth="1"/>
    <col min="12" max="12" width="14.6640625" customWidth="1"/>
    <col min="13" max="14" width="13.21875" style="75" customWidth="1"/>
    <col min="15" max="15" width="20.21875" bestFit="1" customWidth="1"/>
  </cols>
  <sheetData>
    <row r="1" spans="1:17" x14ac:dyDescent="0.3">
      <c r="A1" s="24" t="s">
        <v>84</v>
      </c>
      <c r="E1" s="76"/>
      <c r="F1" s="77"/>
      <c r="G1" s="85"/>
      <c r="H1" s="86"/>
      <c r="I1" s="156" t="s">
        <v>73</v>
      </c>
      <c r="J1" s="157"/>
      <c r="K1" s="158" t="s">
        <v>75</v>
      </c>
      <c r="L1" s="159"/>
      <c r="M1" s="160" t="s">
        <v>79</v>
      </c>
      <c r="N1" s="161"/>
    </row>
    <row r="2" spans="1:17" ht="15" thickBot="1" x14ac:dyDescent="0.35">
      <c r="A2" t="s">
        <v>80</v>
      </c>
      <c r="C2" s="2" t="s">
        <v>0</v>
      </c>
      <c r="D2" s="2" t="s">
        <v>1</v>
      </c>
      <c r="E2" s="162" t="s">
        <v>81</v>
      </c>
      <c r="F2" s="163"/>
      <c r="G2" s="164" t="s">
        <v>88</v>
      </c>
      <c r="H2" s="165"/>
      <c r="I2" s="166" t="s">
        <v>74</v>
      </c>
      <c r="J2" s="167"/>
      <c r="K2" s="73" t="s">
        <v>78</v>
      </c>
      <c r="L2" s="74"/>
      <c r="M2" s="168">
        <v>2019</v>
      </c>
      <c r="N2" s="169"/>
    </row>
    <row r="3" spans="1:17" x14ac:dyDescent="0.3">
      <c r="C3" s="2"/>
      <c r="D3" s="2"/>
      <c r="E3" s="98"/>
      <c r="F3" s="99"/>
      <c r="G3" s="109"/>
      <c r="H3" s="110"/>
      <c r="I3" s="121"/>
      <c r="J3" s="122"/>
      <c r="K3" s="131"/>
      <c r="L3" s="132"/>
      <c r="M3" s="144" t="s">
        <v>0</v>
      </c>
      <c r="N3" s="145" t="s">
        <v>1</v>
      </c>
    </row>
    <row r="4" spans="1:17" x14ac:dyDescent="0.3">
      <c r="A4" s="3" t="s">
        <v>2</v>
      </c>
      <c r="B4" s="4" t="s">
        <v>83</v>
      </c>
      <c r="C4" s="5">
        <v>29</v>
      </c>
      <c r="D4" s="5">
        <v>209.59</v>
      </c>
      <c r="E4" s="100"/>
      <c r="F4" s="101"/>
      <c r="G4" s="111"/>
      <c r="H4" s="112"/>
      <c r="I4" s="106"/>
      <c r="J4" s="123"/>
      <c r="K4" s="131"/>
      <c r="L4" s="132"/>
      <c r="M4" s="146"/>
      <c r="N4" s="147"/>
    </row>
    <row r="5" spans="1:17" x14ac:dyDescent="0.3">
      <c r="A5" s="6"/>
      <c r="B5" s="7" t="s">
        <v>53</v>
      </c>
      <c r="C5" s="8">
        <v>0</v>
      </c>
      <c r="D5" s="93">
        <f>C5*7.238</f>
        <v>0</v>
      </c>
      <c r="E5" s="100"/>
      <c r="F5" s="101"/>
      <c r="G5" s="111"/>
      <c r="H5" s="112"/>
      <c r="I5" s="106"/>
      <c r="J5" s="123"/>
      <c r="K5" s="131"/>
      <c r="L5" s="132"/>
      <c r="M5" s="146"/>
      <c r="N5" s="147"/>
    </row>
    <row r="6" spans="1:17" s="19" customFormat="1" x14ac:dyDescent="0.3">
      <c r="A6" s="16"/>
      <c r="B6" s="17"/>
      <c r="C6" s="18"/>
      <c r="D6" s="94"/>
      <c r="E6" s="100"/>
      <c r="F6" s="101"/>
      <c r="G6" s="111"/>
      <c r="H6" s="112"/>
      <c r="I6" s="106"/>
      <c r="J6" s="123"/>
      <c r="K6" s="133"/>
      <c r="L6" s="134"/>
      <c r="M6" s="146"/>
      <c r="N6" s="147"/>
    </row>
    <row r="7" spans="1:17" x14ac:dyDescent="0.3">
      <c r="A7" s="6" t="s">
        <v>2</v>
      </c>
      <c r="B7" s="9" t="s">
        <v>54</v>
      </c>
      <c r="C7" s="10">
        <f>SUM(C4:C6)</f>
        <v>29</v>
      </c>
      <c r="D7" s="95">
        <f>SUM(D4:D6)</f>
        <v>209.59</v>
      </c>
      <c r="E7" s="100">
        <f>C7</f>
        <v>29</v>
      </c>
      <c r="F7" s="102">
        <f>D7</f>
        <v>209.59</v>
      </c>
      <c r="G7" s="113">
        <v>50</v>
      </c>
      <c r="H7" s="114">
        <f>G7*7.238</f>
        <v>361.90000000000003</v>
      </c>
      <c r="I7" s="124">
        <f>G7-E7</f>
        <v>21</v>
      </c>
      <c r="J7" s="125">
        <f>I7*7.238</f>
        <v>151.99800000000002</v>
      </c>
      <c r="K7" s="135">
        <v>8</v>
      </c>
      <c r="L7" s="136">
        <f>K7*7.238</f>
        <v>57.904000000000003</v>
      </c>
      <c r="M7" s="148">
        <f>I7+K7</f>
        <v>29</v>
      </c>
      <c r="N7" s="149">
        <f>M7*7.238</f>
        <v>209.90200000000002</v>
      </c>
      <c r="O7" t="str">
        <f>A7</f>
        <v>Fasteners</v>
      </c>
    </row>
    <row r="8" spans="1:17" x14ac:dyDescent="0.3">
      <c r="A8" s="11"/>
      <c r="B8" s="12"/>
      <c r="C8" s="13"/>
      <c r="D8" s="13"/>
      <c r="E8" s="100"/>
      <c r="F8" s="101"/>
      <c r="G8" s="111"/>
      <c r="H8" s="115" t="s">
        <v>77</v>
      </c>
      <c r="I8" s="106"/>
      <c r="J8" s="123"/>
      <c r="K8" s="131"/>
      <c r="L8" s="132"/>
      <c r="M8" s="146"/>
      <c r="N8" s="147"/>
    </row>
    <row r="9" spans="1:17" x14ac:dyDescent="0.3">
      <c r="A9" s="31" t="s">
        <v>6</v>
      </c>
      <c r="B9" s="4" t="s">
        <v>83</v>
      </c>
      <c r="C9" s="5">
        <v>61</v>
      </c>
      <c r="D9" s="5">
        <v>440.89</v>
      </c>
      <c r="E9" s="100"/>
      <c r="F9" s="101"/>
      <c r="G9" s="111"/>
      <c r="H9" s="116" t="s">
        <v>4</v>
      </c>
      <c r="I9" s="106"/>
      <c r="J9" s="123"/>
      <c r="K9" s="131"/>
      <c r="L9" s="132"/>
      <c r="M9" s="146"/>
      <c r="N9" s="147"/>
    </row>
    <row r="10" spans="1:17" x14ac:dyDescent="0.3">
      <c r="A10" s="68" t="s">
        <v>71</v>
      </c>
      <c r="B10" s="7" t="s">
        <v>53</v>
      </c>
      <c r="C10" s="8">
        <v>0</v>
      </c>
      <c r="D10" s="93">
        <f>C10*7.238</f>
        <v>0</v>
      </c>
      <c r="E10" s="100"/>
      <c r="F10" s="101"/>
      <c r="G10" s="111"/>
      <c r="H10" s="112"/>
      <c r="I10" s="106"/>
      <c r="J10" s="123"/>
      <c r="K10" s="131"/>
      <c r="L10" s="132"/>
      <c r="M10" s="146"/>
      <c r="N10" s="147"/>
    </row>
    <row r="11" spans="1:17" s="19" customFormat="1" x14ac:dyDescent="0.3">
      <c r="A11" s="16"/>
      <c r="B11" s="17"/>
      <c r="C11" s="18"/>
      <c r="D11" s="94"/>
      <c r="E11" s="100"/>
      <c r="F11" s="101"/>
      <c r="G11" s="111"/>
      <c r="H11" s="112"/>
      <c r="I11" s="106"/>
      <c r="J11" s="123"/>
      <c r="K11" s="133"/>
      <c r="L11" s="134"/>
      <c r="M11" s="146"/>
      <c r="N11" s="147"/>
    </row>
    <row r="12" spans="1:17" x14ac:dyDescent="0.3">
      <c r="A12" s="6" t="s">
        <v>64</v>
      </c>
      <c r="B12" s="9" t="s">
        <v>5</v>
      </c>
      <c r="C12" s="10">
        <f>SUM(C9:C11)</f>
        <v>61</v>
      </c>
      <c r="D12" s="95">
        <f>SUM(D9:D11)</f>
        <v>440.89</v>
      </c>
      <c r="E12" s="100">
        <f>C12</f>
        <v>61</v>
      </c>
      <c r="F12" s="102">
        <f>D12</f>
        <v>440.89</v>
      </c>
      <c r="G12" s="113">
        <v>251</v>
      </c>
      <c r="H12" s="114">
        <f>G12*7.238</f>
        <v>1816.7380000000001</v>
      </c>
      <c r="I12" s="124">
        <f>G12-E12</f>
        <v>190</v>
      </c>
      <c r="J12" s="125">
        <f>I12*7.238</f>
        <v>1375.22</v>
      </c>
      <c r="K12" s="135">
        <v>16</v>
      </c>
      <c r="L12" s="136">
        <f>K12*7.238</f>
        <v>115.80800000000001</v>
      </c>
      <c r="M12" s="148">
        <f>I12+K12</f>
        <v>206</v>
      </c>
      <c r="N12" s="149">
        <f>M12*7.238</f>
        <v>1491.028</v>
      </c>
      <c r="O12" t="str">
        <f>A12</f>
        <v>Struct.K05S - A05/08</v>
      </c>
      <c r="Q12" t="s">
        <v>4</v>
      </c>
    </row>
    <row r="13" spans="1:17" x14ac:dyDescent="0.3">
      <c r="A13" s="11"/>
      <c r="B13" s="12"/>
      <c r="C13" s="13"/>
      <c r="D13" s="13"/>
      <c r="E13" s="100"/>
      <c r="F13" s="101"/>
      <c r="G13" s="111"/>
      <c r="H13" s="115" t="s">
        <v>90</v>
      </c>
      <c r="I13" s="106"/>
      <c r="J13" s="123"/>
      <c r="K13" s="131"/>
      <c r="L13" s="132"/>
      <c r="M13" s="146"/>
      <c r="N13" s="147"/>
    </row>
    <row r="14" spans="1:17" x14ac:dyDescent="0.3">
      <c r="A14" s="31" t="s">
        <v>7</v>
      </c>
      <c r="B14" s="4" t="s">
        <v>83</v>
      </c>
      <c r="C14" s="5">
        <v>64</v>
      </c>
      <c r="D14" s="5">
        <v>462.52</v>
      </c>
      <c r="E14" s="100"/>
      <c r="F14" s="101"/>
      <c r="G14" s="111"/>
      <c r="H14" s="112"/>
      <c r="I14" s="106"/>
      <c r="J14" s="123"/>
      <c r="K14" s="131"/>
      <c r="L14" s="132"/>
      <c r="M14" s="146"/>
      <c r="N14" s="147"/>
    </row>
    <row r="15" spans="1:17" x14ac:dyDescent="0.3">
      <c r="A15" s="6"/>
      <c r="B15" s="7" t="s">
        <v>85</v>
      </c>
      <c r="C15" s="8">
        <v>-1</v>
      </c>
      <c r="D15" s="93">
        <v>-7.21</v>
      </c>
      <c r="E15" s="100"/>
      <c r="F15" s="101"/>
      <c r="G15" s="111"/>
      <c r="H15" s="112"/>
      <c r="I15" s="106"/>
      <c r="J15" s="123"/>
      <c r="K15" s="131"/>
      <c r="L15" s="132"/>
      <c r="M15" s="146"/>
      <c r="N15" s="147"/>
    </row>
    <row r="16" spans="1:17" s="19" customFormat="1" x14ac:dyDescent="0.3">
      <c r="A16" s="16"/>
      <c r="B16" s="17"/>
      <c r="C16" s="18"/>
      <c r="D16" s="94"/>
      <c r="E16" s="100"/>
      <c r="F16" s="101"/>
      <c r="G16" s="111"/>
      <c r="H16" s="112"/>
      <c r="I16" s="106"/>
      <c r="J16" s="123"/>
      <c r="K16" s="133"/>
      <c r="L16" s="134"/>
      <c r="M16" s="146"/>
      <c r="N16" s="147"/>
    </row>
    <row r="17" spans="1:15" x14ac:dyDescent="0.3">
      <c r="A17" s="6" t="s">
        <v>65</v>
      </c>
      <c r="B17" s="9" t="s">
        <v>5</v>
      </c>
      <c r="C17" s="10">
        <f>SUM(C14:C16)</f>
        <v>63</v>
      </c>
      <c r="D17" s="95">
        <f>SUM(D14:D16)</f>
        <v>455.31</v>
      </c>
      <c r="E17" s="100">
        <f>C17</f>
        <v>63</v>
      </c>
      <c r="F17" s="102">
        <f>D17</f>
        <v>455.31</v>
      </c>
      <c r="G17" s="113">
        <v>32</v>
      </c>
      <c r="H17" s="114">
        <f>G17*7.238</f>
        <v>231.61600000000001</v>
      </c>
      <c r="I17" s="126">
        <v>0</v>
      </c>
      <c r="J17" s="127">
        <v>0</v>
      </c>
      <c r="K17" s="135">
        <v>0</v>
      </c>
      <c r="L17" s="137">
        <f>K17*7.238</f>
        <v>0</v>
      </c>
      <c r="M17" s="148">
        <v>0</v>
      </c>
      <c r="N17" s="149">
        <v>0</v>
      </c>
      <c r="O17" t="str">
        <f>A17</f>
        <v>Struct. K15S-A07</v>
      </c>
    </row>
    <row r="18" spans="1:15" s="23" customFormat="1" x14ac:dyDescent="0.3">
      <c r="A18" s="20"/>
      <c r="B18" s="21"/>
      <c r="C18" s="22"/>
      <c r="D18" s="96"/>
      <c r="E18" s="103"/>
      <c r="F18" s="104"/>
      <c r="G18" s="117" t="s">
        <v>4</v>
      </c>
      <c r="H18" s="118" t="s">
        <v>4</v>
      </c>
      <c r="I18" s="126" t="s">
        <v>58</v>
      </c>
      <c r="J18" s="127" t="s">
        <v>57</v>
      </c>
      <c r="K18" s="138" t="s">
        <v>4</v>
      </c>
      <c r="L18" s="132"/>
      <c r="M18" s="150"/>
      <c r="N18" s="151"/>
    </row>
    <row r="19" spans="1:15" x14ac:dyDescent="0.3">
      <c r="A19" s="3" t="s">
        <v>59</v>
      </c>
      <c r="B19" s="4" t="s">
        <v>83</v>
      </c>
      <c r="C19" s="5">
        <v>13</v>
      </c>
      <c r="D19" s="5">
        <f>57.79+36.16</f>
        <v>93.949999999999989</v>
      </c>
      <c r="E19" s="100"/>
      <c r="F19" s="101" t="s">
        <v>4</v>
      </c>
      <c r="G19" s="111"/>
      <c r="H19" s="112"/>
      <c r="I19" s="106"/>
      <c r="J19" s="123"/>
      <c r="K19" s="131"/>
      <c r="L19" s="132"/>
      <c r="M19" s="146"/>
      <c r="N19" s="147"/>
    </row>
    <row r="20" spans="1:15" x14ac:dyDescent="0.3">
      <c r="A20" s="68" t="s">
        <v>8</v>
      </c>
      <c r="B20" s="7" t="s">
        <v>85</v>
      </c>
      <c r="C20" s="8">
        <v>-5</v>
      </c>
      <c r="D20" s="93">
        <v>-36.159999999999997</v>
      </c>
      <c r="E20" s="100"/>
      <c r="F20" s="101"/>
      <c r="G20" s="111"/>
      <c r="H20" s="112"/>
      <c r="I20" s="106"/>
      <c r="J20" s="123"/>
      <c r="K20" s="131"/>
      <c r="L20" s="132"/>
      <c r="M20" s="146"/>
      <c r="N20" s="147"/>
    </row>
    <row r="21" spans="1:15" s="19" customFormat="1" x14ac:dyDescent="0.3">
      <c r="A21" s="16"/>
      <c r="B21" s="17"/>
      <c r="C21" s="18"/>
      <c r="D21" s="94"/>
      <c r="E21" s="100"/>
      <c r="F21" s="101"/>
      <c r="G21" s="111"/>
      <c r="H21" s="112"/>
      <c r="I21" s="106"/>
      <c r="J21" s="123"/>
      <c r="K21" s="133"/>
      <c r="L21" s="134"/>
      <c r="M21" s="146"/>
      <c r="N21" s="147"/>
    </row>
    <row r="22" spans="1:15" x14ac:dyDescent="0.3">
      <c r="A22" s="6" t="s">
        <v>66</v>
      </c>
      <c r="B22" s="9" t="s">
        <v>5</v>
      </c>
      <c r="C22" s="10">
        <f>SUM(C19:C21)</f>
        <v>8</v>
      </c>
      <c r="D22" s="95">
        <f>SUM(D19:D21)</f>
        <v>57.789999999999992</v>
      </c>
      <c r="E22" s="100">
        <f>C22</f>
        <v>8</v>
      </c>
      <c r="F22" s="102">
        <f>D22</f>
        <v>57.789999999999992</v>
      </c>
      <c r="G22" s="113">
        <v>38</v>
      </c>
      <c r="H22" s="114">
        <f>G22*7.238</f>
        <v>275.04400000000004</v>
      </c>
      <c r="I22" s="124">
        <f>G22-E22</f>
        <v>30</v>
      </c>
      <c r="J22" s="125">
        <f>I22*7.238</f>
        <v>217.14000000000001</v>
      </c>
      <c r="K22" s="135">
        <v>7</v>
      </c>
      <c r="L22" s="139">
        <f>K22*7.238</f>
        <v>50.666000000000004</v>
      </c>
      <c r="M22" s="148">
        <f>I22+K22</f>
        <v>37</v>
      </c>
      <c r="N22" s="149">
        <f>M22*7.238</f>
        <v>267.80600000000004</v>
      </c>
      <c r="O22" t="str">
        <f>A22</f>
        <v>BétaSh2 - K25B</v>
      </c>
    </row>
    <row r="23" spans="1:15" x14ac:dyDescent="0.3">
      <c r="A23" s="11"/>
      <c r="B23" s="12"/>
      <c r="C23" s="13"/>
      <c r="D23" s="97"/>
      <c r="E23" s="100"/>
      <c r="F23" s="101"/>
      <c r="G23" s="111"/>
      <c r="H23" s="112"/>
      <c r="I23" s="106"/>
      <c r="J23" s="123"/>
      <c r="K23" s="131"/>
      <c r="L23" s="132"/>
      <c r="M23" s="146"/>
      <c r="N23" s="147"/>
    </row>
    <row r="24" spans="1:15" x14ac:dyDescent="0.3">
      <c r="A24" s="3" t="s">
        <v>60</v>
      </c>
      <c r="B24" s="4" t="s">
        <v>83</v>
      </c>
      <c r="C24" s="5">
        <v>1</v>
      </c>
      <c r="D24" s="5">
        <v>7.24</v>
      </c>
      <c r="E24" s="100"/>
      <c r="F24" s="101"/>
      <c r="G24" s="111"/>
      <c r="H24" s="112"/>
      <c r="I24" s="106"/>
      <c r="J24" s="123"/>
      <c r="K24" s="131"/>
      <c r="L24" s="132"/>
      <c r="M24" s="146"/>
      <c r="N24" s="147"/>
    </row>
    <row r="25" spans="1:15" x14ac:dyDescent="0.3">
      <c r="A25" s="30" t="s">
        <v>55</v>
      </c>
      <c r="B25" s="7" t="s">
        <v>53</v>
      </c>
      <c r="C25" s="8">
        <v>0</v>
      </c>
      <c r="D25" s="93">
        <f>C25*7.238</f>
        <v>0</v>
      </c>
      <c r="E25" s="100"/>
      <c r="F25" s="101"/>
      <c r="G25" s="111"/>
      <c r="H25" s="112"/>
      <c r="I25" s="106"/>
      <c r="J25" s="123"/>
      <c r="K25" s="131"/>
      <c r="L25" s="132"/>
      <c r="M25" s="146"/>
      <c r="N25" s="147"/>
    </row>
    <row r="26" spans="1:15" s="19" customFormat="1" x14ac:dyDescent="0.3">
      <c r="A26" s="16"/>
      <c r="B26" s="17"/>
      <c r="C26" s="18"/>
      <c r="D26" s="94"/>
      <c r="E26" s="105" t="s">
        <v>4</v>
      </c>
      <c r="F26" s="101"/>
      <c r="G26" s="111"/>
      <c r="H26" s="112"/>
      <c r="I26" s="106"/>
      <c r="J26" s="123"/>
      <c r="K26" s="133"/>
      <c r="L26" s="134"/>
      <c r="M26" s="146"/>
      <c r="N26" s="147"/>
    </row>
    <row r="27" spans="1:15" x14ac:dyDescent="0.3">
      <c r="A27" s="6" t="s">
        <v>60</v>
      </c>
      <c r="B27" s="9" t="s">
        <v>5</v>
      </c>
      <c r="C27" s="10">
        <f>SUM(C24:C26)</f>
        <v>1</v>
      </c>
      <c r="D27" s="95">
        <f>SUM(D24:D26)</f>
        <v>7.24</v>
      </c>
      <c r="E27" s="100">
        <f>C27</f>
        <v>1</v>
      </c>
      <c r="F27" s="102">
        <f>D27</f>
        <v>7.24</v>
      </c>
      <c r="G27" s="113">
        <v>0</v>
      </c>
      <c r="H27" s="114">
        <f>G27*7.238</f>
        <v>0</v>
      </c>
      <c r="I27" s="126" t="s">
        <v>58</v>
      </c>
      <c r="J27" s="128" t="s">
        <v>70</v>
      </c>
      <c r="K27" s="126"/>
      <c r="L27" s="137">
        <v>0</v>
      </c>
      <c r="M27" s="148">
        <v>0</v>
      </c>
      <c r="N27" s="149">
        <v>0</v>
      </c>
      <c r="O27" t="str">
        <f>A27</f>
        <v>Eli - K23A</v>
      </c>
    </row>
    <row r="28" spans="1:15" x14ac:dyDescent="0.3">
      <c r="A28" s="11"/>
      <c r="B28" s="12"/>
      <c r="C28" s="13"/>
      <c r="D28" s="13"/>
      <c r="E28" s="100"/>
      <c r="F28" s="101"/>
      <c r="G28" s="100"/>
      <c r="H28" s="101"/>
      <c r="I28" s="106"/>
      <c r="J28" s="123"/>
      <c r="K28" s="131"/>
      <c r="L28" s="132"/>
      <c r="M28" s="146"/>
      <c r="N28" s="147"/>
    </row>
    <row r="29" spans="1:15" x14ac:dyDescent="0.3">
      <c r="A29" s="3" t="s">
        <v>61</v>
      </c>
      <c r="B29" s="4" t="s">
        <v>83</v>
      </c>
      <c r="C29" s="5">
        <v>25</v>
      </c>
      <c r="D29" s="93">
        <v>180.73</v>
      </c>
      <c r="E29" s="100"/>
      <c r="F29" s="101"/>
      <c r="G29" s="111"/>
      <c r="H29" s="112"/>
      <c r="I29" s="106"/>
      <c r="J29" s="123"/>
      <c r="K29" s="131"/>
      <c r="L29" s="132"/>
      <c r="M29" s="146"/>
      <c r="N29" s="147"/>
    </row>
    <row r="30" spans="1:15" x14ac:dyDescent="0.3">
      <c r="A30" s="68" t="s">
        <v>56</v>
      </c>
      <c r="B30" s="7" t="s">
        <v>53</v>
      </c>
      <c r="C30" s="8">
        <v>0</v>
      </c>
      <c r="D30" s="93">
        <f>C30*7.238</f>
        <v>0</v>
      </c>
      <c r="E30" s="100"/>
      <c r="F30" s="101"/>
      <c r="G30" s="111"/>
      <c r="H30" s="112"/>
      <c r="I30" s="106"/>
      <c r="J30" s="123"/>
      <c r="K30" s="131"/>
      <c r="L30" s="132"/>
      <c r="M30" s="146"/>
      <c r="N30" s="147"/>
    </row>
    <row r="31" spans="1:15" s="19" customFormat="1" x14ac:dyDescent="0.3">
      <c r="A31" s="16"/>
      <c r="B31" s="17"/>
      <c r="C31" s="18"/>
      <c r="D31" s="94"/>
      <c r="E31" s="100"/>
      <c r="F31" s="101"/>
      <c r="G31" s="111"/>
      <c r="H31" s="112"/>
      <c r="I31" s="106"/>
      <c r="J31" s="123"/>
      <c r="K31" s="133"/>
      <c r="L31" s="134"/>
      <c r="M31" s="146"/>
      <c r="N31" s="147"/>
    </row>
    <row r="32" spans="1:15" x14ac:dyDescent="0.3">
      <c r="A32" s="6" t="s">
        <v>67</v>
      </c>
      <c r="B32" s="9" t="s">
        <v>5</v>
      </c>
      <c r="C32" s="10">
        <f>SUM(C29:C31)</f>
        <v>25</v>
      </c>
      <c r="D32" s="95">
        <f>SUM(D29:D31)</f>
        <v>180.73</v>
      </c>
      <c r="E32" s="100">
        <f>C32</f>
        <v>25</v>
      </c>
      <c r="F32" s="102">
        <f>D32</f>
        <v>180.73</v>
      </c>
      <c r="G32" s="113">
        <v>24</v>
      </c>
      <c r="H32" s="114">
        <f>G32*7.238</f>
        <v>173.71200000000002</v>
      </c>
      <c r="I32" s="126" t="s">
        <v>58</v>
      </c>
      <c r="J32" s="127" t="s">
        <v>63</v>
      </c>
      <c r="K32" s="131" t="s">
        <v>76</v>
      </c>
      <c r="L32" s="132"/>
      <c r="M32" s="148">
        <v>0</v>
      </c>
      <c r="N32" s="149">
        <v>0</v>
      </c>
      <c r="O32" t="str">
        <f>A32</f>
        <v>Arconic - K05L</v>
      </c>
    </row>
    <row r="33" spans="1:15" x14ac:dyDescent="0.3">
      <c r="A33" s="11"/>
      <c r="B33" s="12"/>
      <c r="C33" s="13"/>
      <c r="D33" s="13"/>
      <c r="E33" s="100"/>
      <c r="F33" s="101"/>
      <c r="G33" s="111"/>
      <c r="H33" s="112"/>
      <c r="I33" s="106"/>
      <c r="J33" s="123"/>
      <c r="K33" s="131"/>
      <c r="L33" s="132"/>
      <c r="M33" s="146"/>
      <c r="N33" s="147"/>
    </row>
    <row r="34" spans="1:15" x14ac:dyDescent="0.3">
      <c r="A34" s="3" t="s">
        <v>68</v>
      </c>
      <c r="B34" s="4" t="s">
        <v>83</v>
      </c>
      <c r="C34" s="5">
        <v>13</v>
      </c>
      <c r="D34" s="5">
        <v>93.92</v>
      </c>
      <c r="E34" s="100"/>
      <c r="F34" s="101"/>
      <c r="G34" s="111"/>
      <c r="H34" s="112"/>
      <c r="I34" s="106"/>
      <c r="J34" s="123"/>
      <c r="K34" s="131"/>
      <c r="L34" s="132"/>
      <c r="M34" s="146"/>
      <c r="N34" s="147"/>
    </row>
    <row r="35" spans="1:15" x14ac:dyDescent="0.3">
      <c r="A35" s="6"/>
      <c r="B35" s="7" t="s">
        <v>53</v>
      </c>
      <c r="C35" s="8">
        <v>0</v>
      </c>
      <c r="D35" s="93">
        <f>C35*7.238</f>
        <v>0</v>
      </c>
      <c r="E35" s="100"/>
      <c r="F35" s="101"/>
      <c r="G35" s="111"/>
      <c r="H35" s="112"/>
      <c r="I35" s="106"/>
      <c r="J35" s="123"/>
      <c r="K35" s="131"/>
      <c r="L35" s="132"/>
      <c r="M35" s="146"/>
      <c r="N35" s="147"/>
    </row>
    <row r="36" spans="1:15" s="19" customFormat="1" x14ac:dyDescent="0.3">
      <c r="A36" s="16"/>
      <c r="B36" s="17"/>
      <c r="C36" s="18"/>
      <c r="D36" s="94"/>
      <c r="E36" s="100"/>
      <c r="F36" s="101"/>
      <c r="G36" s="111"/>
      <c r="H36" s="112"/>
      <c r="I36" s="106"/>
      <c r="J36" s="123"/>
      <c r="K36" s="133"/>
      <c r="L36" s="134"/>
      <c r="M36" s="146"/>
      <c r="N36" s="147"/>
    </row>
    <row r="37" spans="1:15" x14ac:dyDescent="0.3">
      <c r="A37" s="6" t="s">
        <v>68</v>
      </c>
      <c r="B37" s="9" t="s">
        <v>5</v>
      </c>
      <c r="C37" s="10">
        <f>SUM(C34:C36)</f>
        <v>13</v>
      </c>
      <c r="D37" s="95">
        <f>SUM(D34:D36)</f>
        <v>93.92</v>
      </c>
      <c r="E37" s="100">
        <f>C37</f>
        <v>13</v>
      </c>
      <c r="F37" s="102">
        <f>D37</f>
        <v>93.92</v>
      </c>
      <c r="G37" s="113">
        <v>25</v>
      </c>
      <c r="H37" s="114">
        <f>G37*7.238</f>
        <v>180.95000000000002</v>
      </c>
      <c r="I37" s="124">
        <f>G37-E37</f>
        <v>12</v>
      </c>
      <c r="J37" s="125">
        <f>I37*7.238</f>
        <v>86.856000000000009</v>
      </c>
      <c r="K37" s="135">
        <v>6</v>
      </c>
      <c r="L37" s="139">
        <f>K37*7.238</f>
        <v>43.428000000000004</v>
      </c>
      <c r="M37" s="148">
        <f>I37+K37</f>
        <v>18</v>
      </c>
      <c r="N37" s="149">
        <f>M37*7.238</f>
        <v>130.28400000000002</v>
      </c>
      <c r="O37" t="str">
        <f>A37</f>
        <v>Plymouth - K05H</v>
      </c>
    </row>
    <row r="38" spans="1:15" x14ac:dyDescent="0.3">
      <c r="A38" s="11"/>
      <c r="B38" s="14"/>
      <c r="C38" s="13"/>
      <c r="D38" s="13"/>
      <c r="E38" s="100"/>
      <c r="F38" s="101"/>
      <c r="G38" s="111"/>
      <c r="H38" s="112"/>
      <c r="I38" s="106"/>
      <c r="J38" s="123"/>
      <c r="K38" s="131"/>
      <c r="L38" s="132"/>
      <c r="M38" s="146"/>
      <c r="N38" s="147"/>
    </row>
    <row r="39" spans="1:15" x14ac:dyDescent="0.3">
      <c r="A39" s="31" t="s">
        <v>62</v>
      </c>
      <c r="B39" s="4" t="s">
        <v>83</v>
      </c>
      <c r="C39" s="5">
        <v>13</v>
      </c>
      <c r="D39" s="5">
        <v>94.07</v>
      </c>
      <c r="E39" s="100"/>
      <c r="F39" s="101"/>
      <c r="G39" s="111"/>
      <c r="H39" s="112"/>
      <c r="I39" s="106"/>
      <c r="J39" s="123"/>
      <c r="K39" s="131"/>
      <c r="L39" s="132"/>
      <c r="M39" s="146"/>
      <c r="N39" s="147"/>
    </row>
    <row r="40" spans="1:15" x14ac:dyDescent="0.3">
      <c r="A40" s="6"/>
      <c r="B40" s="7" t="s">
        <v>53</v>
      </c>
      <c r="C40" s="8">
        <v>0</v>
      </c>
      <c r="D40" s="93">
        <f>C40*7.238</f>
        <v>0</v>
      </c>
      <c r="E40" s="100"/>
      <c r="F40" s="101"/>
      <c r="G40" s="111"/>
      <c r="H40" s="112"/>
      <c r="I40" s="106"/>
      <c r="J40" s="123"/>
      <c r="K40" s="131"/>
      <c r="L40" s="132"/>
      <c r="M40" s="146"/>
      <c r="N40" s="147"/>
    </row>
    <row r="41" spans="1:15" s="19" customFormat="1" x14ac:dyDescent="0.3">
      <c r="A41" s="16"/>
      <c r="B41" s="17"/>
      <c r="C41" s="18"/>
      <c r="D41" s="94"/>
      <c r="E41" s="106" t="s">
        <v>89</v>
      </c>
      <c r="F41" s="101"/>
      <c r="G41" s="111"/>
      <c r="H41" s="112"/>
      <c r="I41" s="106"/>
      <c r="J41" s="123"/>
      <c r="K41" s="133"/>
      <c r="L41" s="134"/>
      <c r="M41" s="146"/>
      <c r="N41" s="147"/>
    </row>
    <row r="42" spans="1:15" x14ac:dyDescent="0.3">
      <c r="A42" s="6" t="s">
        <v>69</v>
      </c>
      <c r="B42" s="9" t="s">
        <v>5</v>
      </c>
      <c r="C42" s="10">
        <f>SUM(C39:C41)</f>
        <v>13</v>
      </c>
      <c r="D42" s="95">
        <f>SUM(D39:D41)</f>
        <v>94.07</v>
      </c>
      <c r="E42" s="100">
        <f>C42</f>
        <v>13</v>
      </c>
      <c r="F42" s="102">
        <f>D42</f>
        <v>94.07</v>
      </c>
      <c r="G42" s="113">
        <v>23</v>
      </c>
      <c r="H42" s="114">
        <f>G42*7.238</f>
        <v>166.47400000000002</v>
      </c>
      <c r="I42" s="124">
        <f>G42-E42</f>
        <v>10</v>
      </c>
      <c r="J42" s="125">
        <f>I42*7.238</f>
        <v>72.38000000000001</v>
      </c>
      <c r="K42" s="135">
        <v>14</v>
      </c>
      <c r="L42" s="139">
        <f>K42*7.238</f>
        <v>101.33200000000001</v>
      </c>
      <c r="M42" s="148">
        <f>I42+K42</f>
        <v>24</v>
      </c>
      <c r="N42" s="149">
        <f>M42*7.238</f>
        <v>173.71200000000002</v>
      </c>
      <c r="O42" t="str">
        <f>A42</f>
        <v>Safran-Snecma - K05A</v>
      </c>
    </row>
    <row r="43" spans="1:15" x14ac:dyDescent="0.3">
      <c r="A43" s="11"/>
      <c r="B43" s="14"/>
      <c r="C43" s="13"/>
      <c r="D43" s="13"/>
      <c r="E43" s="100"/>
      <c r="F43" s="101"/>
      <c r="G43" s="111"/>
      <c r="H43" s="112"/>
      <c r="I43" s="106"/>
      <c r="J43" s="123"/>
      <c r="K43" s="131"/>
      <c r="L43" s="132"/>
      <c r="M43" s="146"/>
      <c r="N43" s="147"/>
    </row>
    <row r="44" spans="1:15" ht="13.95" customHeight="1" x14ac:dyDescent="0.3">
      <c r="A44" s="7"/>
      <c r="B44" s="15"/>
      <c r="C44" s="69" t="s">
        <v>0</v>
      </c>
      <c r="D44" s="69" t="s">
        <v>9</v>
      </c>
      <c r="E44" s="98" t="s">
        <v>0</v>
      </c>
      <c r="F44" s="99" t="s">
        <v>9</v>
      </c>
      <c r="G44" s="109" t="s">
        <v>0</v>
      </c>
      <c r="H44" s="110" t="s">
        <v>9</v>
      </c>
      <c r="I44" s="121" t="s">
        <v>0</v>
      </c>
      <c r="J44" s="122" t="s">
        <v>9</v>
      </c>
      <c r="K44" s="140" t="s">
        <v>0</v>
      </c>
      <c r="L44" s="141" t="s">
        <v>9</v>
      </c>
      <c r="M44" s="152" t="s">
        <v>0</v>
      </c>
      <c r="N44" s="153" t="s">
        <v>9</v>
      </c>
    </row>
    <row r="45" spans="1:15" ht="15" thickBot="1" x14ac:dyDescent="0.35">
      <c r="B45" s="15" t="s">
        <v>87</v>
      </c>
      <c r="C45" s="70">
        <f>C7+C12+C17+C22+C27+C32+C37+C42</f>
        <v>213</v>
      </c>
      <c r="D45" s="71">
        <f>D7+D12+D17+D22+D27+D32+D37+D42</f>
        <v>1539.54</v>
      </c>
      <c r="E45" s="107">
        <f t="shared" ref="E45:J45" si="0">SUM(E5:E44)</f>
        <v>213</v>
      </c>
      <c r="F45" s="108">
        <f t="shared" si="0"/>
        <v>1539.54</v>
      </c>
      <c r="G45" s="119">
        <f t="shared" si="0"/>
        <v>443</v>
      </c>
      <c r="H45" s="120">
        <f t="shared" si="0"/>
        <v>3206.4339999999997</v>
      </c>
      <c r="I45" s="129">
        <f t="shared" si="0"/>
        <v>263</v>
      </c>
      <c r="J45" s="130">
        <f t="shared" si="0"/>
        <v>1903.5940000000003</v>
      </c>
      <c r="K45" s="142">
        <f>SUM(K5:K44)</f>
        <v>51</v>
      </c>
      <c r="L45" s="143">
        <f t="shared" ref="L45" si="1">SUM(L5:L44)</f>
        <v>369.13800000000003</v>
      </c>
      <c r="M45" s="154">
        <f>SUM(M5:M44)</f>
        <v>314</v>
      </c>
      <c r="N45" s="155">
        <f>SUM(N5:N44)</f>
        <v>2272.732</v>
      </c>
    </row>
    <row r="46" spans="1:15" x14ac:dyDescent="0.3">
      <c r="C46" s="79"/>
      <c r="D46" s="80"/>
      <c r="E46" s="81"/>
      <c r="F46" s="82"/>
      <c r="G46" s="25" t="s">
        <v>4</v>
      </c>
      <c r="H46" s="25" t="s">
        <v>4</v>
      </c>
      <c r="I46" s="33"/>
      <c r="J46" s="28"/>
    </row>
    <row r="47" spans="1:15" x14ac:dyDescent="0.3">
      <c r="C47" s="79"/>
      <c r="D47" s="83"/>
      <c r="E47" s="84"/>
      <c r="F47" s="84"/>
      <c r="G47" s="25"/>
      <c r="H47" s="25" t="s">
        <v>4</v>
      </c>
      <c r="I47" s="36"/>
      <c r="J47" s="33" t="s">
        <v>4</v>
      </c>
      <c r="K47" t="s">
        <v>4</v>
      </c>
      <c r="L47" t="s">
        <v>4</v>
      </c>
      <c r="M47" t="s">
        <v>4</v>
      </c>
      <c r="N47" t="s">
        <v>4</v>
      </c>
    </row>
    <row r="48" spans="1:15" x14ac:dyDescent="0.3">
      <c r="B48" s="87"/>
      <c r="C48" s="88"/>
      <c r="D48" s="89" t="s">
        <v>82</v>
      </c>
      <c r="E48" s="90">
        <v>3</v>
      </c>
      <c r="F48" s="91">
        <v>21.9</v>
      </c>
      <c r="G48" s="26"/>
      <c r="H48" s="26"/>
      <c r="I48" s="26"/>
      <c r="J48" s="26"/>
      <c r="K48" s="26"/>
      <c r="L48" s="26"/>
      <c r="M48" s="26"/>
      <c r="N48" s="26"/>
    </row>
    <row r="49" spans="1:14" x14ac:dyDescent="0.3">
      <c r="B49" s="87"/>
      <c r="C49" s="88"/>
      <c r="D49" s="92" t="s">
        <v>86</v>
      </c>
      <c r="E49" s="91">
        <f>SUM(E45:E48)</f>
        <v>216</v>
      </c>
      <c r="F49" s="91">
        <f>SUM(F45:F48)</f>
        <v>1561.44</v>
      </c>
      <c r="G49" s="25"/>
      <c r="H49" s="25"/>
      <c r="I49" s="25"/>
      <c r="J49" s="25"/>
      <c r="K49" s="25"/>
      <c r="L49" s="25"/>
      <c r="M49" s="25"/>
      <c r="N49" s="25"/>
    </row>
    <row r="50" spans="1:14" x14ac:dyDescent="0.3">
      <c r="G50" s="29" t="s">
        <v>4</v>
      </c>
      <c r="M50"/>
      <c r="N50" s="27"/>
    </row>
    <row r="51" spans="1:14" x14ac:dyDescent="0.3">
      <c r="G51" s="29" t="s">
        <v>4</v>
      </c>
      <c r="M51"/>
      <c r="N51" s="27"/>
    </row>
    <row r="52" spans="1:14" x14ac:dyDescent="0.3">
      <c r="G52" s="29" t="s">
        <v>4</v>
      </c>
    </row>
    <row r="56" spans="1:14" x14ac:dyDescent="0.3">
      <c r="A56" s="25"/>
    </row>
    <row r="57" spans="1:14" x14ac:dyDescent="0.3">
      <c r="A57" s="25"/>
      <c r="E57" s="36"/>
    </row>
    <row r="58" spans="1:14" x14ac:dyDescent="0.3">
      <c r="A58" s="25"/>
      <c r="E58" s="36"/>
      <c r="F58" s="26"/>
    </row>
    <row r="60" spans="1:14" x14ac:dyDescent="0.3">
      <c r="A60" s="72"/>
      <c r="B60" s="32"/>
      <c r="C60" s="32"/>
    </row>
    <row r="61" spans="1:14" x14ac:dyDescent="0.3">
      <c r="A61" s="72"/>
      <c r="B61" s="32"/>
      <c r="C61" s="32"/>
    </row>
    <row r="62" spans="1:14" x14ac:dyDescent="0.3">
      <c r="A62" s="72"/>
      <c r="B62" s="32"/>
      <c r="C62" s="78"/>
    </row>
    <row r="63" spans="1:14" x14ac:dyDescent="0.3">
      <c r="A63" s="72"/>
      <c r="B63" s="32"/>
      <c r="C63" s="32"/>
    </row>
    <row r="64" spans="1:14" x14ac:dyDescent="0.3">
      <c r="B64" s="32"/>
      <c r="C64" s="78"/>
    </row>
  </sheetData>
  <autoFilter ref="A3:N51"/>
  <mergeCells count="7">
    <mergeCell ref="I1:J1"/>
    <mergeCell ref="K1:L1"/>
    <mergeCell ref="M1:N1"/>
    <mergeCell ref="E2:F2"/>
    <mergeCell ref="G2:H2"/>
    <mergeCell ref="I2:J2"/>
    <mergeCell ref="M2:N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mail Xav</vt:lpstr>
      <vt:lpstr>stock-besoins-expéditionsKZ</vt:lpstr>
      <vt:lpstr>'stock-besoins-expéditionsKZ'!Print_Area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Vanoverschelde</dc:creator>
  <cp:lastModifiedBy>Danielle Vanoverschelde</cp:lastModifiedBy>
  <cp:lastPrinted>2018-12-14T09:26:19Z</cp:lastPrinted>
  <dcterms:created xsi:type="dcterms:W3CDTF">2018-06-19T07:40:26Z</dcterms:created>
  <dcterms:modified xsi:type="dcterms:W3CDTF">2018-12-14T14:45:26Z</dcterms:modified>
</cp:coreProperties>
</file>