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co-filer-01\Ecotitanium\04_SupplyChain\04_Pilotage\200_PIC\2020\202004\P2-PIC\"/>
    </mc:Choice>
  </mc:AlternateContent>
  <bookViews>
    <workbookView xWindow="0" yWindow="0" windowWidth="23040" windowHeight="10452" tabRatio="753" activeTab="2"/>
  </bookViews>
  <sheets>
    <sheet name="vision EcoTI" sheetId="35" r:id="rId1"/>
    <sheet name="vision EcoTI_sav20200323" sheetId="37" state="hidden" r:id="rId2"/>
    <sheet name="Mensualisation" sheetId="36" r:id="rId3"/>
    <sheet name="2020_P2" sheetId="38" r:id="rId4"/>
  </sheets>
  <definedNames>
    <definedName name="yield" localSheetId="0">'vision EcoTI'!#REF!</definedName>
    <definedName name="yield" localSheetId="1">'vision EcoTI_sav20200323'!#REF!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4" i="36" l="1"/>
  <c r="U16" i="36"/>
  <c r="T16" i="36"/>
  <c r="V13" i="36"/>
  <c r="U13" i="36"/>
  <c r="T13" i="36"/>
  <c r="S13" i="36"/>
  <c r="V22" i="36"/>
  <c r="U22" i="36"/>
  <c r="F20" i="35" l="1"/>
  <c r="F19" i="35"/>
  <c r="F18" i="35"/>
  <c r="F17" i="35"/>
  <c r="F16" i="35"/>
  <c r="F15" i="35"/>
  <c r="F14" i="35"/>
  <c r="F13" i="35"/>
  <c r="F12" i="35"/>
  <c r="F11" i="35"/>
  <c r="F10" i="35"/>
  <c r="F7" i="35"/>
  <c r="F6" i="35"/>
  <c r="F2" i="35"/>
  <c r="F21" i="35" l="1"/>
  <c r="S27" i="36"/>
  <c r="N27" i="36" l="1"/>
  <c r="I2" i="36"/>
  <c r="T2" i="36"/>
  <c r="U2" i="36"/>
  <c r="V2" i="36"/>
  <c r="L2" i="36"/>
  <c r="M2" i="36"/>
  <c r="N2" i="36"/>
  <c r="O2" i="36"/>
  <c r="P2" i="36"/>
  <c r="Q2" i="36"/>
  <c r="S2" i="36"/>
  <c r="K2" i="36"/>
  <c r="F13" i="36"/>
  <c r="N9" i="38"/>
  <c r="N8" i="38"/>
  <c r="N6" i="38"/>
  <c r="N5" i="38"/>
  <c r="N28" i="36" l="1"/>
  <c r="E22" i="37" l="1"/>
  <c r="I20" i="37"/>
  <c r="H20" i="37"/>
  <c r="E20" i="37"/>
  <c r="E25" i="37" s="1"/>
  <c r="D20" i="37"/>
  <c r="F20" i="37" s="1"/>
  <c r="C20" i="37"/>
  <c r="F18" i="37"/>
  <c r="F17" i="37"/>
  <c r="F16" i="37"/>
  <c r="F15" i="37"/>
  <c r="E15" i="37"/>
  <c r="F14" i="37"/>
  <c r="F13" i="37"/>
  <c r="F12" i="37"/>
  <c r="F11" i="37"/>
  <c r="F10" i="37"/>
  <c r="F9" i="37"/>
  <c r="F8" i="37"/>
  <c r="F7" i="37"/>
  <c r="F6" i="37"/>
  <c r="F5" i="37"/>
  <c r="F4" i="37"/>
  <c r="F3" i="37"/>
  <c r="F2" i="37"/>
  <c r="E2" i="37"/>
  <c r="E23" i="37" l="1"/>
  <c r="E2" i="35" l="1"/>
  <c r="L6" i="36" l="1"/>
  <c r="M6" i="36"/>
  <c r="N6" i="36"/>
  <c r="O6" i="36"/>
  <c r="P6" i="36"/>
  <c r="Q6" i="36"/>
  <c r="R6" i="36"/>
  <c r="S6" i="36"/>
  <c r="T6" i="36"/>
  <c r="U6" i="36"/>
  <c r="V6" i="36"/>
  <c r="K6" i="36"/>
  <c r="J6" i="36" l="1"/>
  <c r="J21" i="35"/>
  <c r="O28" i="36" l="1"/>
  <c r="P28" i="36" s="1"/>
  <c r="Q28" i="36" s="1"/>
  <c r="R28" i="36" s="1"/>
  <c r="S28" i="36" s="1"/>
  <c r="T28" i="36" s="1"/>
  <c r="U28" i="36" s="1"/>
  <c r="V28" i="36" s="1"/>
  <c r="W28" i="36" s="1"/>
  <c r="X28" i="36" s="1"/>
  <c r="Y28" i="36" s="1"/>
  <c r="L28" i="36"/>
  <c r="K28" i="36"/>
  <c r="L7" i="36"/>
  <c r="M7" i="36"/>
  <c r="N7" i="36"/>
  <c r="O7" i="36"/>
  <c r="P7" i="36"/>
  <c r="Q7" i="36"/>
  <c r="R7" i="36"/>
  <c r="S7" i="36"/>
  <c r="T7" i="36"/>
  <c r="U7" i="36"/>
  <c r="V7" i="36"/>
  <c r="K7" i="36"/>
  <c r="J7" i="36" l="1"/>
  <c r="F12" i="36"/>
  <c r="G12" i="36" s="1"/>
  <c r="I26" i="36"/>
  <c r="I24" i="36"/>
  <c r="I23" i="36"/>
  <c r="I22" i="36"/>
  <c r="I21" i="36"/>
  <c r="I20" i="36"/>
  <c r="I19" i="36"/>
  <c r="I18" i="36"/>
  <c r="I17" i="36"/>
  <c r="I16" i="36"/>
  <c r="I15" i="36"/>
  <c r="I14" i="36"/>
  <c r="I13" i="36"/>
  <c r="I12" i="36"/>
  <c r="I11" i="36"/>
  <c r="I10" i="36"/>
  <c r="I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6" i="36" s="1"/>
  <c r="H26" i="36"/>
  <c r="H9" i="36"/>
  <c r="G21" i="36"/>
  <c r="F10" i="36"/>
  <c r="G10" i="36" s="1"/>
  <c r="F11" i="36"/>
  <c r="G11" i="36" s="1"/>
  <c r="G13" i="36"/>
  <c r="F14" i="36"/>
  <c r="G14" i="36" s="1"/>
  <c r="F15" i="36"/>
  <c r="G15" i="36" s="1"/>
  <c r="F16" i="36"/>
  <c r="G16" i="36" s="1"/>
  <c r="F17" i="36"/>
  <c r="G17" i="36" s="1"/>
  <c r="F18" i="36"/>
  <c r="G18" i="36" s="1"/>
  <c r="F19" i="36"/>
  <c r="G19" i="36" s="1"/>
  <c r="F20" i="36"/>
  <c r="G20" i="36" s="1"/>
  <c r="F21" i="36"/>
  <c r="F22" i="36"/>
  <c r="G22" i="36" s="1"/>
  <c r="F23" i="36"/>
  <c r="G23" i="36" s="1"/>
  <c r="F24" i="36"/>
  <c r="G24" i="36" s="1"/>
  <c r="F25" i="36"/>
  <c r="G25" i="36" s="1"/>
  <c r="F26" i="36"/>
  <c r="G26" i="36" s="1"/>
  <c r="F9" i="36"/>
  <c r="I25" i="36" l="1"/>
  <c r="I6" i="36" s="1"/>
  <c r="F6" i="36"/>
  <c r="G9" i="36"/>
  <c r="G6" i="36" l="1"/>
  <c r="W7" i="36" l="1"/>
  <c r="X7" i="36"/>
  <c r="Y7" i="36"/>
  <c r="Z7" i="36"/>
  <c r="AA7" i="36"/>
  <c r="AB7" i="36"/>
  <c r="AC7" i="36"/>
  <c r="AD7" i="36"/>
  <c r="AE7" i="36"/>
  <c r="AF7" i="36"/>
  <c r="AG7" i="36"/>
  <c r="AH7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B10" i="36"/>
  <c r="D10" i="36" s="1"/>
  <c r="B11" i="36"/>
  <c r="D11" i="36" s="1"/>
  <c r="B12" i="36"/>
  <c r="D12" i="36" s="1"/>
  <c r="B13" i="36"/>
  <c r="D13" i="36" s="1"/>
  <c r="B14" i="36"/>
  <c r="D14" i="36" s="1"/>
  <c r="B15" i="36"/>
  <c r="D15" i="36" s="1"/>
  <c r="B16" i="36"/>
  <c r="D16" i="36" s="1"/>
  <c r="B17" i="36"/>
  <c r="D17" i="36" s="1"/>
  <c r="B18" i="36"/>
  <c r="D18" i="36" s="1"/>
  <c r="B19" i="36"/>
  <c r="D19" i="36" s="1"/>
  <c r="B20" i="36"/>
  <c r="D20" i="36" s="1"/>
  <c r="B21" i="36"/>
  <c r="D21" i="36" s="1"/>
  <c r="B22" i="36"/>
  <c r="D22" i="36" s="1"/>
  <c r="B23" i="36"/>
  <c r="D23" i="36" s="1"/>
  <c r="B24" i="36"/>
  <c r="D24" i="36" s="1"/>
  <c r="B25" i="36"/>
  <c r="D25" i="36" s="1"/>
  <c r="B26" i="36"/>
  <c r="D26" i="36" s="1"/>
  <c r="B9" i="36"/>
  <c r="D9" i="36" s="1"/>
  <c r="C6" i="36" l="1"/>
  <c r="B6" i="36"/>
  <c r="D7" i="36" s="1"/>
  <c r="E23" i="35"/>
  <c r="E15" i="35"/>
  <c r="E21" i="35" s="1"/>
  <c r="E26" i="35" l="1"/>
  <c r="E24" i="35"/>
  <c r="G3" i="35"/>
  <c r="G4" i="35"/>
  <c r="G5" i="35"/>
  <c r="G6" i="35"/>
  <c r="G7" i="35"/>
  <c r="G8" i="35"/>
  <c r="G9" i="35"/>
  <c r="G10" i="35"/>
  <c r="G11" i="35"/>
  <c r="G12" i="35"/>
  <c r="G13" i="35"/>
  <c r="G14" i="35"/>
  <c r="G15" i="35"/>
  <c r="G16" i="35"/>
  <c r="G17" i="35"/>
  <c r="G18" i="35"/>
  <c r="G2" i="35"/>
  <c r="C21" i="35" l="1"/>
  <c r="D21" i="35"/>
  <c r="G21" i="35" s="1"/>
  <c r="I21" i="35"/>
</calcChain>
</file>

<file path=xl/comments1.xml><?xml version="1.0" encoding="utf-8"?>
<comments xmlns="http://schemas.openxmlformats.org/spreadsheetml/2006/main">
  <authors>
    <author>PROIX Nicolas</author>
  </authors>
  <commentList>
    <comment ref="R2" authorId="0" shapeId="0">
      <text>
        <r>
          <rPr>
            <b/>
            <sz val="9"/>
            <color indexed="81"/>
            <rFont val="Tahoma"/>
            <family val="2"/>
          </rPr>
          <t>NP 6/4 : pas de mois d'aout au P2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livrés le 6/4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</rPr>
          <t>20/4 : prévision au titre des besoins 2021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</rPr>
          <t>20/4 : commande non reçue par UKAD ni pour les suivantes</t>
        </r>
      </text>
    </comment>
    <comment ref="N18" authorId="0" shapeId="0">
      <text>
        <r>
          <rPr>
            <b/>
            <sz val="9"/>
            <color indexed="81"/>
            <rFont val="Tahoma"/>
            <family val="2"/>
          </rPr>
          <t>livré le 6/4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</rPr>
          <t>20/4 : commande 2 Lingots IFA reçue le 17/4
6/4 : prévu sur Avril, attente commande UKAD (2 IFA B348) opération meulage-rayonnage prévue cette semaine 15
Commande reçue par UKAD mais pas par EcoTitanium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>AEQUS</t>
        </r>
      </text>
    </comment>
    <comment ref="P20" authorId="0" shapeId="0">
      <text>
        <r>
          <rPr>
            <b/>
            <sz val="9"/>
            <color indexed="81"/>
            <rFont val="Tahoma"/>
            <family val="2"/>
          </rPr>
          <t>2/4 : cde reçue AEQUS 10692</t>
        </r>
      </text>
    </comment>
    <comment ref="S20" authorId="0" shapeId="0">
      <text>
        <r>
          <rPr>
            <b/>
            <sz val="9"/>
            <color indexed="81"/>
            <rFont val="Tahoma"/>
            <family val="2"/>
          </rPr>
          <t>2/4 : cde reçue AEQUS 10686</t>
        </r>
      </text>
    </comment>
    <comment ref="R25" authorId="0" shapeId="0">
      <text>
        <r>
          <rPr>
            <b/>
            <sz val="9"/>
            <color indexed="81"/>
            <rFont val="Tahoma"/>
            <family val="2"/>
          </rPr>
          <t>20/4 : voir comment traiter la demande de Philippe Jacquet</t>
        </r>
      </text>
    </comment>
    <comment ref="Y25" authorId="0" shapeId="0">
      <text>
        <r>
          <rPr>
            <b/>
            <sz val="9"/>
            <color indexed="81"/>
            <rFont val="Tahoma"/>
            <family val="2"/>
          </rPr>
          <t>20/4 : 
+de 100 équiv lingots en stub, pas de besoin avant 2021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</rPr>
          <t>20/4 : ajout du stub et du rebut pour être en phase avec le catalogue
6/4 : ajout du B348 comme "en stock" à fin mars pour réfleter la non production d'avril vs les ventes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>9/3 : remplace dans le fichier la famille Qualif SAFRAN</t>
        </r>
      </text>
    </comment>
  </commentList>
</comments>
</file>

<file path=xl/comments2.xml><?xml version="1.0" encoding="utf-8"?>
<comments xmlns="http://schemas.openxmlformats.org/spreadsheetml/2006/main">
  <authors>
    <author>GOURITEN Francois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vente copeaux GT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Vente massifs IMET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<sst xmlns="http://schemas.openxmlformats.org/spreadsheetml/2006/main" count="192" uniqueCount="101">
  <si>
    <t>commentaires</t>
  </si>
  <si>
    <t>RR STd Bingots</t>
  </si>
  <si>
    <t>m</t>
  </si>
  <si>
    <t>RR Std Billettes</t>
  </si>
  <si>
    <t>e</t>
  </si>
  <si>
    <t>u</t>
  </si>
  <si>
    <t>Safran 6-4 Aero Booster EcoTi</t>
  </si>
  <si>
    <t>Fondeurs type DMD 779 ou équivalent</t>
  </si>
  <si>
    <t>Industriel vente lingots TA6V</t>
  </si>
  <si>
    <t>Bohler B brame pour tôles Défense US (DFAS)</t>
  </si>
  <si>
    <t>Bohler B brame pour tôles Aero</t>
  </si>
  <si>
    <t>Otto Fuchs</t>
  </si>
  <si>
    <t>Forgital 6-4 couronnes aéro Safran ou RR</t>
  </si>
  <si>
    <t>Liebherr</t>
  </si>
  <si>
    <t>Bombardier via AD</t>
  </si>
  <si>
    <t>MCC Trunnion Global 700 Pamiers</t>
  </si>
  <si>
    <t xml:space="preserve">Airbus Nouveau développements EcoTitanium </t>
  </si>
  <si>
    <t>DF Spirit lingot EcoTi (70/30)</t>
  </si>
  <si>
    <t>probable 2020</t>
  </si>
  <si>
    <t>b2020</t>
  </si>
  <si>
    <t>Famille Commerciale</t>
  </si>
  <si>
    <t>Plymouth Hors Airbus, UAC, CEFIVAL</t>
  </si>
  <si>
    <t>DP AMS 4928 + Industriel</t>
  </si>
  <si>
    <t>TàF Ti</t>
  </si>
  <si>
    <t>delta 2020</t>
  </si>
  <si>
    <t>80% de l'écart sur un poste Safran Aéro Booster</t>
  </si>
  <si>
    <t>en attente de cde pour 2 brames avec 1 EcoTi cette semaine</t>
  </si>
  <si>
    <t>réponse à l'appel d'offres - 1 lingot EcoTI pour 2020 ? Lancement du projet avec lingots UKTMP
le lingot EcoTi dépendra de la qualification Airbus
qualification pour mi 2021 pour activité mi-2022
confirmation que Bohler Bleche est retenu pour 500T</t>
  </si>
  <si>
    <t>Boeing</t>
  </si>
  <si>
    <t>demande de proposition pour envisager l'accélération de la qualification.</t>
  </si>
  <si>
    <t>qualification à conclure : qu’est-ce qu’il reste à faire ?
         prévision de Pamiers (29T si 100% EcoTi)
         peut-on affecter des lingots EcoTitanium ?
Poursuite avec matière UKTMP
lancement d'une coulée EcoTItanium pour matriçage en juillet =&gt; est ce qu'il y a de la matière UKAD (type 300mm Safran 4 barres ou est ce qu'il faut lancer un lingot sur avril ? (RA)</t>
  </si>
  <si>
    <t>- 1 électrode pour Taram : affectée dès réception de la commande =&gt; garder en stock - libération du stub ?
- contact avec Microsteel : pas de besoin
- reste 2 potentiels en Angletere et Belgique (Settas)</t>
  </si>
  <si>
    <t>cible 2020</t>
  </si>
  <si>
    <t>déjà Produits</t>
  </si>
  <si>
    <t>reste à produire</t>
  </si>
  <si>
    <t>dont mars</t>
  </si>
  <si>
    <t>reste à produire à partir d'avril</t>
  </si>
  <si>
    <t xml:space="preserve">soit 26 électrodes =&gt; 4 à 5 électrodes bonnes par mois entre avril et octobre </t>
  </si>
  <si>
    <r>
      <t xml:space="preserve">à suivre avec la BU PM
</t>
    </r>
    <r>
      <rPr>
        <b/>
        <sz val="11"/>
        <color rgb="FFFF0000"/>
        <rFont val="Calibri"/>
        <family val="2"/>
        <scheme val="minor"/>
      </rPr>
      <t>on peut les lancer plus tard en fin 2020.</t>
    </r>
  </si>
  <si>
    <r>
      <t xml:space="preserve">produits à mettre sur étagère ? Délai cible à définir
</t>
    </r>
    <r>
      <rPr>
        <b/>
        <sz val="11"/>
        <color rgb="FFFF0000"/>
        <rFont val="Calibri"/>
        <family val="2"/>
      </rPr>
      <t xml:space="preserve">UAC : 2 lingots pour mars déjà produits
</t>
    </r>
    <r>
      <rPr>
        <sz val="11"/>
        <rFont val="Calibri"/>
        <family val="2"/>
      </rPr>
      <t>Plymouth : pas d'EcoTi</t>
    </r>
  </si>
  <si>
    <r>
      <t xml:space="preserve">note officielle sur brassage / non brassage envoyée à Pamiers =&gt; réunion à programmer
accumulation de données via Pamiers actuellement =&gt; décision sur les deux autres pièces en juillet (JLP)
</t>
    </r>
    <r>
      <rPr>
        <b/>
        <sz val="11"/>
        <color rgb="FFFF0000"/>
        <rFont val="Calibri"/>
        <family val="2"/>
        <scheme val="minor"/>
      </rPr>
      <t xml:space="preserve">pression économique pour livrer à Pamiers - finir la qualif - </t>
    </r>
  </si>
  <si>
    <r>
      <t>offre transmise -Audit à programmer au premier semestre 2020 // 28 et 29 avril à confirmer. Il faut avoir la qualif</t>
    </r>
    <r>
      <rPr>
        <b/>
        <sz val="11"/>
        <color rgb="FFFF0000"/>
        <rFont val="Calibri"/>
        <family val="2"/>
        <scheme val="minor"/>
      </rPr>
      <t>. - Attention l'audit doit se faire avec l'usine ouverte.</t>
    </r>
  </si>
  <si>
    <r>
      <t xml:space="preserve">lancer des essais EcoTi pour qualification de la source en 305 et 330mm // matière proposée en PECV
</t>
    </r>
    <r>
      <rPr>
        <b/>
        <sz val="11"/>
        <color rgb="FFFF0000"/>
        <rFont val="Calibri"/>
        <family val="2"/>
        <scheme val="minor"/>
      </rPr>
      <t>aller au bout des essais</t>
    </r>
  </si>
  <si>
    <r>
      <t xml:space="preserve">réponse à l'appel d'offres - en attente de cdes pour 3 lingots
qualification pour mi 2021 pour activité mi-2022
liée à la qualification Airbus et à la résorbtion des retards UKAD.
Pas de date d'audit technique pour l'insant.
</t>
    </r>
    <r>
      <rPr>
        <b/>
        <sz val="11"/>
        <color rgb="FFFF0000"/>
        <rFont val="Calibri"/>
        <family val="2"/>
        <scheme val="minor"/>
      </rPr>
      <t>5 lingots dont 1 produits livrés - 4 à livrer à 1 par mois sur les 4 derniers mois</t>
    </r>
  </si>
  <si>
    <r>
      <t xml:space="preserve">KIND : rien en Grade 5 pour l'instant  - Pb de paiement non résolu =&gt; à relancer
IFA : 1 lingot livré pour début février + 3 en discussion
FMDL : proposition de bingots et de billettes de 330mm (retour 2ème quizaine de février)
Fedriga : projet à 5 lingots (demande de prix - en attente)
Inde : formaliser le pb du double usage.
</t>
    </r>
    <r>
      <rPr>
        <b/>
        <sz val="11"/>
        <color rgb="FFFF0000"/>
        <rFont val="Calibri"/>
        <family val="2"/>
        <scheme val="minor"/>
      </rPr>
      <t>1 livré - 2 cde d'ajustement si nécessaire</t>
    </r>
  </si>
  <si>
    <r>
      <t xml:space="preserve">offres en-cours
en fonction de la capcité de la SMX notamment
- demande via A.Balzarotti de diamètres entre 40 et 400mm =&gt; à relancer
</t>
    </r>
    <r>
      <rPr>
        <b/>
        <sz val="11"/>
        <color rgb="FFFF0000"/>
        <rFont val="Calibri"/>
        <family val="2"/>
        <scheme val="minor"/>
      </rPr>
      <t xml:space="preserve">- Gould Alloys.
- quel est l'encours ? 1 livré + reste en carnet </t>
    </r>
  </si>
  <si>
    <r>
      <t xml:space="preserve">Volume global à éclairer =&gt; 100T ?
Client par client ( dépend des 100T ci-dessus) - à remettre à jour : 
ANDA (92T) =&gt; attente des retours d'essais de la part du client (UKTMP) - juin ?
</t>
    </r>
    <r>
      <rPr>
        <strike/>
        <sz val="11"/>
        <color theme="1"/>
        <rFont val="Calibri"/>
        <family val="2"/>
        <scheme val="minor"/>
      </rPr>
      <t>Defontaine (43T) =&gt; pas d'essai lancé =&gt; à voir avec Safran</t>
    </r>
    <r>
      <rPr>
        <sz val="11"/>
        <color theme="1"/>
        <rFont val="Calibri"/>
        <family val="2"/>
        <scheme val="minor"/>
      </rPr>
      <t xml:space="preserve">
Frisa (187T) =&gt; essais livrés, (UKTMP) - mai ou juin ?
ATI/ZKM (8T) =&gt; matière livrée en UKTMP : retour sur fin février pour les essais (8T =&gt; 22T)
Arconic Suzhou (33T) =&gt; consultation - pas de matière envoyée
GATD : 20T envoyées sur 2 diamètres - attente de résultats en mars - potentiel EcoTi
LISI : développement nouveau sur petits diamètres (hors contrat) - 150mm (voir le 17/02) +1T1 en d200
FORGITAL : objectif 2020 - 33T hors Leap 1B - livraison du 305mm EcoTi prioritaire (S12 ?)
UdF : demande de 130mm (5T ?)
Firth Rixon UK : ?
Loire Industries : 5/10T en diamètre 250mm
</t>
    </r>
    <r>
      <rPr>
        <b/>
        <sz val="11"/>
        <color rgb="FFFF0000"/>
        <rFont val="Calibri"/>
        <family val="2"/>
        <scheme val="minor"/>
      </rPr>
      <t>18 livrés ou en-cours de livraison (12+6) - 9 en prévision pour la fin de l'année</t>
    </r>
  </si>
  <si>
    <r>
      <t xml:space="preserve">peu d'empressement chez Rolls.
Pas de retour de chutes garantie (même pas Pamiers)
peu intéressé par le standard uniquement par le le PQ =&gt; quelles stratégie de qualification (prochain Copil Filière Titane)
poistionnement sur billettes et pas de bingots =&gt; quelle cohérence avec notre BP ?
</t>
    </r>
    <r>
      <rPr>
        <b/>
        <sz val="11"/>
        <color rgb="FFFF0000"/>
        <rFont val="Calibri"/>
        <family val="2"/>
        <scheme val="minor"/>
      </rPr>
      <t>date de réunion : jeudi 27/02</t>
    </r>
  </si>
  <si>
    <t>****</t>
  </si>
  <si>
    <t>Lingots</t>
  </si>
  <si>
    <t>tonnes</t>
  </si>
  <si>
    <t>2020 (m-a)%</t>
  </si>
  <si>
    <t>mensualisation (m)</t>
  </si>
  <si>
    <t>2021 (m-a)%</t>
  </si>
  <si>
    <t xml:space="preserve"> </t>
  </si>
  <si>
    <t>2021
EcoTi V3</t>
  </si>
  <si>
    <t>Nivellement production</t>
  </si>
  <si>
    <t>Stock lingot fin de période</t>
  </si>
  <si>
    <t>Ventes</t>
  </si>
  <si>
    <r>
      <rPr>
        <sz val="11"/>
        <color theme="1"/>
        <rFont val="Calibri"/>
        <family val="2"/>
        <scheme val="minor"/>
      </rPr>
      <t xml:space="preserve">1 campagne = </t>
    </r>
    <r>
      <rPr>
        <b/>
        <sz val="11"/>
        <color theme="1"/>
        <rFont val="Calibri"/>
        <family val="2"/>
        <scheme val="minor"/>
      </rPr>
      <t>3 lingots</t>
    </r>
    <r>
      <rPr>
        <sz val="11"/>
        <color theme="1"/>
        <rFont val="Calibri"/>
        <family val="2"/>
        <scheme val="minor"/>
      </rPr>
      <t xml:space="preserve"> mini. 0 ou 3 en 2020. 3 lingots possibles, capacité ok. en 2020 (15 tonnes / mois)
53T à enregistrer liées à la qualif Airbus (carnet DP 91T en juillet et décembre) 
… nécessite une qualification mi-mai Airbus +Spirit  
si qualification fin septembre : volume T1 2021 =&gt; 21T
risque majeur du fait de la difficulté sur la coulée ensemencée. (réunion d’avancement le 6/12)      
Attente de la fin de la dissection S08 puis rapport final envoyé à Spirit (durée du cycle via le client 4 à 5 mois) =&gt; point à faire RA
hypothèse : top pour les livraisons de lingots fin juin (80% du potentiel de 95T)
A accélérer ?
lingot </t>
    </r>
    <r>
      <rPr>
        <sz val="11"/>
        <color theme="1"/>
        <rFont val="Symbol"/>
        <family val="1"/>
        <charset val="2"/>
      </rPr>
      <t>b</t>
    </r>
    <r>
      <rPr>
        <sz val="11"/>
        <color theme="1"/>
        <rFont val="Calibri"/>
        <family val="2"/>
        <scheme val="minor"/>
      </rPr>
      <t xml:space="preserve"> pour fin juin.
</t>
    </r>
    <r>
      <rPr>
        <b/>
        <sz val="11"/>
        <color rgb="FFFF0000"/>
        <rFont val="Calibri"/>
        <family val="2"/>
        <scheme val="minor"/>
      </rPr>
      <t>Variable d'ajustement - la pièce s'arrête au premier trimestre 2022 - à minima si nécessaire</t>
    </r>
  </si>
  <si>
    <t>à voir après la mise au point de la pièce par Pamiers</t>
  </si>
  <si>
    <t>Besoin client à accompagner / Cde pour 1 lingot reçue</t>
  </si>
  <si>
    <t>limitation aux commandes à flux (Aequs)- aux commandes enregistrées et aux consultations en cours</t>
  </si>
  <si>
    <t>Plus de besoin Taram en 2020 - prospection Settas</t>
  </si>
  <si>
    <t>besoin Stub EcoTitanium</t>
  </si>
  <si>
    <r>
      <t xml:space="preserve">lancer des essais EcoTi pour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 xml:space="preserve"> de la source en 305 et 330mm // matière proposée en PECV
</t>
    </r>
    <r>
      <rPr>
        <sz val="11"/>
        <color theme="1"/>
        <rFont val="Calibri"/>
        <family val="2"/>
        <scheme val="minor"/>
      </rPr>
      <t>aller au bout des essais</t>
    </r>
  </si>
  <si>
    <r>
      <t xml:space="preserve">Maintien d'un lingot pour lancement dès finalisation de la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 xml:space="preserve"> Airbus
confirmation que Bohler Bleche est retenu pour 500T</t>
    </r>
  </si>
  <si>
    <r>
      <t xml:space="preserve">peu d'empressement chez Rolls.
Maintien d'un lingot pour lancer la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 xml:space="preserve"> en Bingots</t>
    </r>
  </si>
  <si>
    <r>
      <t xml:space="preserve">pour envisager l'accélération de la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>.</t>
    </r>
  </si>
  <si>
    <t xml:space="preserve">affectation multiple non représentée : Bombardier-IFA, AEQUS-IFA, SAFRAN-IFA </t>
  </si>
  <si>
    <t>CDE</t>
  </si>
  <si>
    <t>sur stock</t>
  </si>
  <si>
    <t>MQP</t>
  </si>
  <si>
    <t>Mensualisation du P2 en comptabilisation:</t>
  </si>
  <si>
    <t>Pour rappel :</t>
  </si>
  <si>
    <t>en K€</t>
  </si>
  <si>
    <t>P2-2020</t>
  </si>
  <si>
    <t>B 2020</t>
  </si>
  <si>
    <t>Chiffre d'Affaire clients</t>
  </si>
  <si>
    <t>Ventes de chutes</t>
  </si>
  <si>
    <t>Nb de lingots</t>
  </si>
  <si>
    <t>Tonnage de lingots</t>
  </si>
  <si>
    <t>P2</t>
  </si>
  <si>
    <t>Cible 2020
P2 COVID</t>
  </si>
  <si>
    <t>delta
2020</t>
  </si>
  <si>
    <t>à suivre avec la BU PM
lancement au  plus tard en fin 2020.</t>
  </si>
  <si>
    <t xml:space="preserve"> Potentiel complémentaire en fin 2020.
UAC : 2 lingots pour mars déjà produits
Plymouth : pas d'EcoTi</t>
  </si>
  <si>
    <r>
      <t xml:space="preserve">20/4 : à suivre avec le déconfinement pour permettre l'audit. 
offre transmise - Audit de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 xml:space="preserve"> à programmer au premier semestre 2020 // 28 et 29 avril. Clarifier le sujet sur le questionnaire et les conditions d'audit (PDL)</t>
    </r>
  </si>
  <si>
    <r>
      <t xml:space="preserve">20/4 : </t>
    </r>
    <r>
      <rPr>
        <b/>
        <sz val="11"/>
        <color rgb="FFFF0000"/>
        <rFont val="Calibri"/>
        <family val="2"/>
        <scheme val="minor"/>
      </rPr>
      <t>à clarifier coté SC UKAD (stock et encours vs commandes reçues)</t>
    </r>
    <r>
      <rPr>
        <sz val="11"/>
        <color theme="1"/>
        <rFont val="Calibri"/>
        <family val="2"/>
        <scheme val="minor"/>
      </rPr>
      <t xml:space="preserve">
volumes liés à la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 xml:space="preserve"> Airbus et à la résorbtion des retards UKAD.
Pas de date d'audit technique pour l'instant.
5 lingots dont 1 produits livrés - 4 à livrer à 1 par mois sur les 4 derniers mois
Arrêt des réceptions // est ce qu'ils continuent à produire.</t>
    </r>
  </si>
  <si>
    <t>potentiel de 2 lingots supplémentaires au-delà des 21 tonnes.
1 livré - 2 cde d'ajustement si nécessaire - suivre les opportunités notamment pour les lingots déclassés</t>
  </si>
  <si>
    <t>DP TA6V ELI</t>
  </si>
  <si>
    <t>potentiel 3 lingots sous condition : 3 mois pour mise à dispo des lingots après commande client et vendus en 2020</t>
  </si>
  <si>
    <t>maj 20200420</t>
  </si>
  <si>
    <t>Scénario (année a)</t>
  </si>
  <si>
    <t>l'ensemble des lingots rebutés ou pas est pris en compte pour faciliter le bouclage avec le catalogue</t>
  </si>
  <si>
    <t>Stub</t>
  </si>
  <si>
    <t>à confirmer par SC UKAD</t>
  </si>
  <si>
    <r>
      <t xml:space="preserve">cadence actualisée à 96 tonnes DP 2020 dont en cours =&gt; 20/4 : </t>
    </r>
    <r>
      <rPr>
        <b/>
        <sz val="11"/>
        <color rgb="FFFF0000"/>
        <rFont val="Calibri"/>
        <family val="2"/>
        <scheme val="minor"/>
      </rPr>
      <t>attente retour Pamiers (A220) : PDL</t>
    </r>
    <r>
      <rPr>
        <sz val="11"/>
        <color theme="1"/>
        <rFont val="Calibri"/>
        <family val="2"/>
        <scheme val="minor"/>
      </rPr>
      <t xml:space="preserve">
accumulation de données via Pamiers actuellement =&gt; décision sur les deux autres pièces en juillet
pression économique pour livrer à Pamiers - finir la </t>
    </r>
    <r>
      <rPr>
        <b/>
        <sz val="11"/>
        <color rgb="FFFF0000"/>
        <rFont val="Calibri"/>
        <family val="2"/>
        <scheme val="minor"/>
      </rPr>
      <t>qualification</t>
    </r>
  </si>
  <si>
    <t>20/4 :  confirmation du besoin même en cas de baisse de volume. 0 lingots ou 3 lingots (contrainte élaboration et commerce)
La pièce s'arrête au premier trimestre 2022 - ajuster les livraisons aux capacités</t>
  </si>
  <si>
    <t>20/4 : actualisation à la baisse, basée sur livraison DP début 2021 
10 livrés et 2 en stock , 22 lingots sur l'année</t>
  </si>
  <si>
    <r>
      <rPr>
        <b/>
        <sz val="11"/>
        <color theme="1"/>
        <rFont val="Calibri"/>
        <family val="2"/>
        <scheme val="minor"/>
      </rPr>
      <t>zone jaune</t>
    </r>
    <r>
      <rPr>
        <sz val="11"/>
        <color theme="1"/>
        <rFont val="Calibri"/>
        <family val="2"/>
        <scheme val="minor"/>
      </rPr>
      <t xml:space="preserve"> à valider par SC UKAD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</si>
</sst>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&quot; t &quot;"/>
    <numFmt numFmtId="165" formatCode="_-* #,##0.0_-;\-* #,##0.0_-;_-* &quot;-&quot;??_-;_-@_-"/>
    <numFmt numFmtId="166" formatCode="_-* #,##0_-;\-* #,##0_-;_-* &quot;-&quot;??_-;_-@_-"/>
    <numFmt numFmtId="167" formatCode="_-* #,##0.0\ _€_-;\-* #,##0.0\ _€_-;_-* &quot;-&quot;?\ _€_-;_-@_-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Symbol"/>
      <family val="1"/>
      <charset val="2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2" applyNumberFormat="0" applyFill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top"/>
    </xf>
    <xf numFmtId="164" fontId="0" fillId="0" borderId="0" xfId="0" applyNumberFormat="1"/>
    <xf numFmtId="164" fontId="0" fillId="0" borderId="4" xfId="0" applyNumberFormat="1" applyBorder="1"/>
    <xf numFmtId="0" fontId="7" fillId="0" borderId="4" xfId="0" applyFont="1" applyBorder="1" applyAlignment="1">
      <alignment horizontal="left" vertical="top"/>
    </xf>
    <xf numFmtId="0" fontId="8" fillId="0" borderId="4" xfId="0" applyFont="1" applyFill="1" applyBorder="1"/>
    <xf numFmtId="0" fontId="7" fillId="0" borderId="4" xfId="0" applyFont="1" applyFill="1" applyBorder="1" applyAlignment="1">
      <alignment horizontal="left" vertical="top"/>
    </xf>
    <xf numFmtId="164" fontId="0" fillId="0" borderId="4" xfId="0" applyNumberFormat="1" applyBorder="1" applyAlignment="1">
      <alignment wrapText="1"/>
    </xf>
    <xf numFmtId="0" fontId="7" fillId="0" borderId="0" xfId="0" applyFont="1" applyFill="1" applyAlignment="1">
      <alignment horizontal="left" vertical="top"/>
    </xf>
    <xf numFmtId="164" fontId="0" fillId="0" borderId="4" xfId="0" applyNumberFormat="1" applyFill="1" applyBorder="1"/>
    <xf numFmtId="164" fontId="0" fillId="0" borderId="4" xfId="0" quotePrefix="1" applyNumberFormat="1" applyFill="1" applyBorder="1" applyAlignment="1">
      <alignment wrapText="1"/>
    </xf>
    <xf numFmtId="164" fontId="0" fillId="0" borderId="4" xfId="0" applyNumberFormat="1" applyFill="1" applyBorder="1" applyAlignment="1">
      <alignment wrapText="1"/>
    </xf>
    <xf numFmtId="0" fontId="8" fillId="0" borderId="4" xfId="0" quotePrefix="1" applyFont="1" applyFill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/>
    <xf numFmtId="164" fontId="0" fillId="0" borderId="0" xfId="0" applyNumberFormat="1" applyFill="1"/>
    <xf numFmtId="0" fontId="0" fillId="0" borderId="0" xfId="0" applyFill="1"/>
    <xf numFmtId="0" fontId="0" fillId="0" borderId="4" xfId="0" applyBorder="1"/>
    <xf numFmtId="0" fontId="7" fillId="0" borderId="4" xfId="0" applyFont="1" applyBorder="1"/>
    <xf numFmtId="164" fontId="0" fillId="0" borderId="4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8" fillId="0" borderId="4" xfId="0" applyFont="1" applyBorder="1" applyAlignment="1">
      <alignment wrapText="1"/>
    </xf>
    <xf numFmtId="164" fontId="0" fillId="0" borderId="4" xfId="0" quotePrefix="1" applyNumberFormat="1" applyBorder="1" applyAlignment="1">
      <alignment wrapText="1"/>
    </xf>
    <xf numFmtId="0" fontId="7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164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164" fontId="5" fillId="3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164" fontId="0" fillId="0" borderId="3" xfId="0" applyNumberFormat="1" applyFill="1" applyBorder="1" applyAlignment="1">
      <alignment wrapText="1"/>
    </xf>
    <xf numFmtId="164" fontId="0" fillId="3" borderId="3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4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17" fontId="0" fillId="6" borderId="4" xfId="0" applyNumberFormat="1" applyFill="1" applyBorder="1"/>
    <xf numFmtId="0" fontId="5" fillId="0" borderId="0" xfId="0" applyFont="1" applyBorder="1" applyAlignment="1">
      <alignment horizontal="center" vertical="center"/>
    </xf>
    <xf numFmtId="0" fontId="13" fillId="7" borderId="0" xfId="0" applyFont="1" applyFill="1"/>
    <xf numFmtId="165" fontId="0" fillId="0" borderId="0" xfId="4" applyNumberFormat="1" applyFont="1"/>
    <xf numFmtId="166" fontId="0" fillId="0" borderId="0" xfId="4" applyNumberFormat="1" applyFont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0" xfId="5" applyFont="1"/>
    <xf numFmtId="167" fontId="0" fillId="0" borderId="0" xfId="0" applyNumberFormat="1"/>
    <xf numFmtId="0" fontId="7" fillId="10" borderId="0" xfId="0" applyFont="1" applyFill="1" applyBorder="1" applyAlignment="1">
      <alignment horizontal="left" vertical="top"/>
    </xf>
    <xf numFmtId="0" fontId="0" fillId="4" borderId="4" xfId="0" applyFill="1" applyBorder="1"/>
    <xf numFmtId="0" fontId="5" fillId="4" borderId="4" xfId="0" applyFont="1" applyFill="1" applyBorder="1"/>
    <xf numFmtId="165" fontId="0" fillId="0" borderId="4" xfId="4" applyNumberFormat="1" applyFont="1" applyBorder="1"/>
    <xf numFmtId="9" fontId="0" fillId="0" borderId="4" xfId="5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5" fillId="0" borderId="4" xfId="0" applyFont="1" applyBorder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0" fillId="0" borderId="14" xfId="0" applyBorder="1"/>
    <xf numFmtId="0" fontId="0" fillId="0" borderId="15" xfId="0" applyBorder="1"/>
    <xf numFmtId="0" fontId="5" fillId="0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7" xfId="0" applyFont="1" applyBorder="1" applyAlignment="1">
      <alignment vertical="top"/>
    </xf>
    <xf numFmtId="0" fontId="7" fillId="0" borderId="17" xfId="0" applyFont="1" applyFill="1" applyBorder="1" applyAlignment="1">
      <alignment vertical="top"/>
    </xf>
    <xf numFmtId="0" fontId="7" fillId="0" borderId="17" xfId="0" applyFont="1" applyBorder="1"/>
    <xf numFmtId="0" fontId="5" fillId="0" borderId="17" xfId="0" applyFont="1" applyBorder="1" applyAlignment="1">
      <alignment horizontal="left" vertical="top"/>
    </xf>
    <xf numFmtId="0" fontId="7" fillId="9" borderId="10" xfId="0" applyFont="1" applyFill="1" applyBorder="1" applyAlignment="1">
      <alignment horizontal="left" vertical="top"/>
    </xf>
    <xf numFmtId="17" fontId="0" fillId="6" borderId="6" xfId="0" applyNumberFormat="1" applyFill="1" applyBorder="1"/>
    <xf numFmtId="0" fontId="0" fillId="4" borderId="14" xfId="0" applyFill="1" applyBorder="1"/>
    <xf numFmtId="0" fontId="0" fillId="0" borderId="18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8" borderId="0" xfId="0" applyFill="1"/>
    <xf numFmtId="0" fontId="5" fillId="0" borderId="4" xfId="0" applyFont="1" applyBorder="1" applyAlignment="1">
      <alignment horizontal="center"/>
    </xf>
    <xf numFmtId="164" fontId="0" fillId="6" borderId="4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164" fontId="0" fillId="0" borderId="4" xfId="0" applyNumberFormat="1" applyFont="1" applyFill="1" applyBorder="1" applyAlignment="1">
      <alignment wrapText="1"/>
    </xf>
    <xf numFmtId="0" fontId="15" fillId="0" borderId="4" xfId="0" quotePrefix="1" applyFont="1" applyBorder="1" applyAlignment="1">
      <alignment wrapText="1"/>
    </xf>
    <xf numFmtId="164" fontId="0" fillId="0" borderId="4" xfId="0" quotePrefix="1" applyNumberFormat="1" applyFont="1" applyFill="1" applyBorder="1" applyAlignment="1">
      <alignment wrapText="1"/>
    </xf>
    <xf numFmtId="164" fontId="0" fillId="0" borderId="4" xfId="0" applyNumberFormat="1" applyFont="1" applyBorder="1" applyAlignment="1">
      <alignment wrapText="1"/>
    </xf>
    <xf numFmtId="164" fontId="0" fillId="0" borderId="4" xfId="0" quotePrefix="1" applyNumberFormat="1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4" borderId="4" xfId="0" applyFont="1" applyFill="1" applyBorder="1"/>
    <xf numFmtId="16" fontId="0" fillId="0" borderId="0" xfId="0" applyNumberFormat="1"/>
    <xf numFmtId="0" fontId="16" fillId="0" borderId="4" xfId="0" applyFont="1" applyBorder="1"/>
    <xf numFmtId="0" fontId="17" fillId="0" borderId="0" xfId="0" applyFont="1"/>
    <xf numFmtId="0" fontId="18" fillId="0" borderId="4" xfId="0" applyFont="1" applyBorder="1" applyAlignment="1">
      <alignment horizontal="center" vertical="center"/>
    </xf>
    <xf numFmtId="17" fontId="0" fillId="0" borderId="4" xfId="0" applyNumberFormat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0" fillId="0" borderId="0" xfId="0" applyNumberFormat="1"/>
    <xf numFmtId="17" fontId="0" fillId="5" borderId="20" xfId="0" applyNumberFormat="1" applyFill="1" applyBorder="1"/>
    <xf numFmtId="17" fontId="0" fillId="5" borderId="1" xfId="0" applyNumberFormat="1" applyFill="1" applyBorder="1"/>
    <xf numFmtId="17" fontId="0" fillId="5" borderId="21" xfId="0" applyNumberFormat="1" applyFill="1" applyBorder="1"/>
    <xf numFmtId="0" fontId="5" fillId="0" borderId="4" xfId="0" applyFont="1" applyFill="1" applyBorder="1" applyAlignment="1">
      <alignment horizontal="center" vertical="center"/>
    </xf>
    <xf numFmtId="3" fontId="0" fillId="0" borderId="4" xfId="0" applyNumberFormat="1" applyBorder="1"/>
    <xf numFmtId="0" fontId="0" fillId="3" borderId="4" xfId="0" applyFill="1" applyBorder="1"/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6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6" fontId="20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/>
    <xf numFmtId="0" fontId="5" fillId="3" borderId="15" xfId="0" applyFont="1" applyFill="1" applyBorder="1"/>
    <xf numFmtId="164" fontId="0" fillId="0" borderId="5" xfId="0" applyNumberFormat="1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164" fontId="0" fillId="0" borderId="4" xfId="0" applyNumberForma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5" fillId="0" borderId="15" xfId="0" applyFont="1" applyBorder="1"/>
    <xf numFmtId="0" fontId="5" fillId="11" borderId="15" xfId="0" applyFont="1" applyFill="1" applyBorder="1"/>
    <xf numFmtId="0" fontId="5" fillId="0" borderId="5" xfId="0" applyFont="1" applyBorder="1"/>
    <xf numFmtId="0" fontId="5" fillId="0" borderId="19" xfId="0" applyFont="1" applyBorder="1"/>
  </cellXfs>
  <cellStyles count="6">
    <cellStyle name="Milliers" xfId="4" builtinId="3"/>
    <cellStyle name="Neutral 2" xfId="1"/>
    <cellStyle name="Normal" xfId="0" builtinId="0"/>
    <cellStyle name="Normal 2" xfId="2"/>
    <cellStyle name="Pourcentage" xfId="5" builtinId="5"/>
    <cellStyle name="Tot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143104</xdr:colOff>
      <xdr:row>29</xdr:row>
      <xdr:rowOff>40293</xdr:rowOff>
    </xdr:from>
    <xdr:to>
      <xdr:col>16</xdr:col>
      <xdr:colOff>289995</xdr:colOff>
      <xdr:row>29</xdr:row>
      <xdr:rowOff>132100</xdr:rowOff>
    </xdr:to>
    <xdr:sp macro="" textlink="">
      <xdr:nvSpPr>
        <xdr:cNvPr id="5" name="Triangle isocèle 4"/>
        <xdr:cNvSpPr/>
      </xdr:nvSpPr>
      <xdr:spPr>
        <a:xfrm>
          <a:off x="11488437" y="5180769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59800</xdr:colOff>
      <xdr:row>21</xdr:row>
      <xdr:rowOff>38930</xdr:rowOff>
    </xdr:from>
    <xdr:to>
      <xdr:col>18</xdr:col>
      <xdr:colOff>206691</xdr:colOff>
      <xdr:row>21</xdr:row>
      <xdr:rowOff>130737</xdr:rowOff>
    </xdr:to>
    <xdr:sp macro="" textlink="">
      <xdr:nvSpPr>
        <xdr:cNvPr id="6" name="Triangle isocèle 5"/>
        <xdr:cNvSpPr/>
      </xdr:nvSpPr>
      <xdr:spPr>
        <a:xfrm>
          <a:off x="12799152" y="4568000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227770</xdr:colOff>
      <xdr:row>21</xdr:row>
      <xdr:rowOff>34246</xdr:rowOff>
    </xdr:from>
    <xdr:to>
      <xdr:col>18</xdr:col>
      <xdr:colOff>374661</xdr:colOff>
      <xdr:row>21</xdr:row>
      <xdr:rowOff>126053</xdr:rowOff>
    </xdr:to>
    <xdr:sp macro="" textlink="">
      <xdr:nvSpPr>
        <xdr:cNvPr id="7" name="Triangle isocèle 6"/>
        <xdr:cNvSpPr/>
      </xdr:nvSpPr>
      <xdr:spPr>
        <a:xfrm>
          <a:off x="12492341" y="3699103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94722</xdr:colOff>
      <xdr:row>15</xdr:row>
      <xdr:rowOff>52388</xdr:rowOff>
    </xdr:from>
    <xdr:to>
      <xdr:col>18</xdr:col>
      <xdr:colOff>241613</xdr:colOff>
      <xdr:row>15</xdr:row>
      <xdr:rowOff>144195</xdr:rowOff>
    </xdr:to>
    <xdr:sp macro="" textlink="">
      <xdr:nvSpPr>
        <xdr:cNvPr id="8" name="Triangle isocèle 7"/>
        <xdr:cNvSpPr/>
      </xdr:nvSpPr>
      <xdr:spPr>
        <a:xfrm>
          <a:off x="12359293" y="2628674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131008</xdr:colOff>
      <xdr:row>24</xdr:row>
      <xdr:rowOff>58436</xdr:rowOff>
    </xdr:from>
    <xdr:to>
      <xdr:col>17</xdr:col>
      <xdr:colOff>277899</xdr:colOff>
      <xdr:row>24</xdr:row>
      <xdr:rowOff>150243</xdr:rowOff>
    </xdr:to>
    <xdr:sp macro="" textlink="">
      <xdr:nvSpPr>
        <xdr:cNvPr id="9" name="Triangle isocèle 8"/>
        <xdr:cNvSpPr/>
      </xdr:nvSpPr>
      <xdr:spPr>
        <a:xfrm>
          <a:off x="11887579" y="4267579"/>
          <a:ext cx="146891" cy="91807"/>
        </a:xfrm>
        <a:prstGeom prst="triangle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184668</xdr:colOff>
      <xdr:row>29</xdr:row>
      <xdr:rowOff>47220</xdr:rowOff>
    </xdr:from>
    <xdr:to>
      <xdr:col>18</xdr:col>
      <xdr:colOff>331559</xdr:colOff>
      <xdr:row>29</xdr:row>
      <xdr:rowOff>139027</xdr:rowOff>
    </xdr:to>
    <xdr:sp macro="" textlink="">
      <xdr:nvSpPr>
        <xdr:cNvPr id="10" name="Triangle isocèle 9"/>
        <xdr:cNvSpPr/>
      </xdr:nvSpPr>
      <xdr:spPr>
        <a:xfrm>
          <a:off x="13450395" y="6011602"/>
          <a:ext cx="146891" cy="91807"/>
        </a:xfrm>
        <a:prstGeom prst="triangle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137055</xdr:colOff>
      <xdr:row>19</xdr:row>
      <xdr:rowOff>52388</xdr:rowOff>
    </xdr:from>
    <xdr:to>
      <xdr:col>15</xdr:col>
      <xdr:colOff>283946</xdr:colOff>
      <xdr:row>19</xdr:row>
      <xdr:rowOff>144195</xdr:rowOff>
    </xdr:to>
    <xdr:sp macro="" textlink="">
      <xdr:nvSpPr>
        <xdr:cNvPr id="11" name="Triangle isocèle 10"/>
        <xdr:cNvSpPr/>
      </xdr:nvSpPr>
      <xdr:spPr>
        <a:xfrm>
          <a:off x="11034865" y="3354388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120309</xdr:colOff>
      <xdr:row>17</xdr:row>
      <xdr:rowOff>27268</xdr:rowOff>
    </xdr:from>
    <xdr:to>
      <xdr:col>13</xdr:col>
      <xdr:colOff>267200</xdr:colOff>
      <xdr:row>17</xdr:row>
      <xdr:rowOff>119075</xdr:rowOff>
    </xdr:to>
    <xdr:sp macro="" textlink="">
      <xdr:nvSpPr>
        <xdr:cNvPr id="12" name="Triangle isocèle 11"/>
        <xdr:cNvSpPr/>
      </xdr:nvSpPr>
      <xdr:spPr>
        <a:xfrm>
          <a:off x="10227276" y="2999905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46807</xdr:colOff>
      <xdr:row>10</xdr:row>
      <xdr:rowOff>52388</xdr:rowOff>
    </xdr:from>
    <xdr:to>
      <xdr:col>13</xdr:col>
      <xdr:colOff>193698</xdr:colOff>
      <xdr:row>10</xdr:row>
      <xdr:rowOff>144195</xdr:rowOff>
    </xdr:to>
    <xdr:sp macro="" textlink="">
      <xdr:nvSpPr>
        <xdr:cNvPr id="13" name="Triangle isocèle 12"/>
        <xdr:cNvSpPr/>
      </xdr:nvSpPr>
      <xdr:spPr>
        <a:xfrm>
          <a:off x="10148192" y="2234183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195671</xdr:colOff>
      <xdr:row>19</xdr:row>
      <xdr:rowOff>35640</xdr:rowOff>
    </xdr:from>
    <xdr:to>
      <xdr:col>18</xdr:col>
      <xdr:colOff>342562</xdr:colOff>
      <xdr:row>19</xdr:row>
      <xdr:rowOff>127447</xdr:rowOff>
    </xdr:to>
    <xdr:sp macro="" textlink="">
      <xdr:nvSpPr>
        <xdr:cNvPr id="14" name="Triangle isocèle 13"/>
        <xdr:cNvSpPr/>
      </xdr:nvSpPr>
      <xdr:spPr>
        <a:xfrm>
          <a:off x="12831473" y="3376717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209627</xdr:colOff>
      <xdr:row>10</xdr:row>
      <xdr:rowOff>52388</xdr:rowOff>
    </xdr:from>
    <xdr:to>
      <xdr:col>13</xdr:col>
      <xdr:colOff>356518</xdr:colOff>
      <xdr:row>10</xdr:row>
      <xdr:rowOff>144195</xdr:rowOff>
    </xdr:to>
    <xdr:sp macro="" textlink="">
      <xdr:nvSpPr>
        <xdr:cNvPr id="17" name="Triangle isocèle 16"/>
        <xdr:cNvSpPr/>
      </xdr:nvSpPr>
      <xdr:spPr>
        <a:xfrm>
          <a:off x="10311012" y="2234183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31417</xdr:colOff>
      <xdr:row>18</xdr:row>
      <xdr:rowOff>35642</xdr:rowOff>
    </xdr:from>
    <xdr:to>
      <xdr:col>13</xdr:col>
      <xdr:colOff>178308</xdr:colOff>
      <xdr:row>18</xdr:row>
      <xdr:rowOff>127449</xdr:rowOff>
    </xdr:to>
    <xdr:sp macro="" textlink="">
      <xdr:nvSpPr>
        <xdr:cNvPr id="18" name="Triangle isocèle 17"/>
        <xdr:cNvSpPr/>
      </xdr:nvSpPr>
      <xdr:spPr>
        <a:xfrm>
          <a:off x="10130600" y="3856374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202327</xdr:colOff>
      <xdr:row>18</xdr:row>
      <xdr:rowOff>37217</xdr:rowOff>
    </xdr:from>
    <xdr:to>
      <xdr:col>13</xdr:col>
      <xdr:colOff>349218</xdr:colOff>
      <xdr:row>18</xdr:row>
      <xdr:rowOff>129024</xdr:rowOff>
    </xdr:to>
    <xdr:sp macro="" textlink="">
      <xdr:nvSpPr>
        <xdr:cNvPr id="19" name="Triangle isocèle 18"/>
        <xdr:cNvSpPr/>
      </xdr:nvSpPr>
      <xdr:spPr>
        <a:xfrm>
          <a:off x="10430299" y="4018935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172572</xdr:colOff>
      <xdr:row>24</xdr:row>
      <xdr:rowOff>37654</xdr:rowOff>
    </xdr:from>
    <xdr:to>
      <xdr:col>24</xdr:col>
      <xdr:colOff>319463</xdr:colOff>
      <xdr:row>24</xdr:row>
      <xdr:rowOff>129461</xdr:rowOff>
    </xdr:to>
    <xdr:sp macro="" textlink="">
      <xdr:nvSpPr>
        <xdr:cNvPr id="20" name="Triangle isocèle 19"/>
        <xdr:cNvSpPr/>
      </xdr:nvSpPr>
      <xdr:spPr>
        <a:xfrm>
          <a:off x="16008317" y="5073781"/>
          <a:ext cx="146891" cy="91807"/>
        </a:xfrm>
        <a:prstGeom prst="triangle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20</xdr:col>
      <xdr:colOff>172572</xdr:colOff>
      <xdr:row>29</xdr:row>
      <xdr:rowOff>46515</xdr:rowOff>
    </xdr:from>
    <xdr:to>
      <xdr:col>20</xdr:col>
      <xdr:colOff>319463</xdr:colOff>
      <xdr:row>29</xdr:row>
      <xdr:rowOff>138322</xdr:rowOff>
    </xdr:to>
    <xdr:sp macro="" textlink="">
      <xdr:nvSpPr>
        <xdr:cNvPr id="21" name="Triangle isocèle 20"/>
        <xdr:cNvSpPr/>
      </xdr:nvSpPr>
      <xdr:spPr>
        <a:xfrm>
          <a:off x="13906293" y="6151375"/>
          <a:ext cx="146891" cy="91807"/>
        </a:xfrm>
        <a:prstGeom prst="triangle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zoomScale="90" zoomScaleNormal="90" workbookViewId="0">
      <selection activeCell="H15" sqref="H15"/>
    </sheetView>
  </sheetViews>
  <sheetFormatPr baseColWidth="10" defaultRowHeight="14.4" x14ac:dyDescent="0.3"/>
  <cols>
    <col min="1" max="1" width="2.5546875" bestFit="1" customWidth="1"/>
    <col min="2" max="2" width="40.88671875" style="3" bestFit="1" customWidth="1"/>
    <col min="3" max="6" width="11.77734375" style="1" customWidth="1"/>
    <col min="7" max="7" width="9" style="1" customWidth="1"/>
    <col min="8" max="8" width="107.6640625" style="37" bestFit="1" customWidth="1"/>
  </cols>
  <sheetData>
    <row r="1" spans="1:19" s="15" customFormat="1" ht="28.8" x14ac:dyDescent="0.3">
      <c r="A1" s="18"/>
      <c r="B1" s="6" t="s">
        <v>20</v>
      </c>
      <c r="C1" s="17" t="s">
        <v>19</v>
      </c>
      <c r="D1" s="17" t="s">
        <v>18</v>
      </c>
      <c r="E1" s="17" t="s">
        <v>32</v>
      </c>
      <c r="F1" s="112" t="s">
        <v>83</v>
      </c>
      <c r="G1" s="112" t="s">
        <v>84</v>
      </c>
      <c r="H1" s="34" t="s">
        <v>0</v>
      </c>
      <c r="I1" s="16">
        <v>2021</v>
      </c>
      <c r="J1" s="63" t="s">
        <v>55</v>
      </c>
    </row>
    <row r="2" spans="1:19" ht="28.8" x14ac:dyDescent="0.3">
      <c r="A2" s="14" t="s">
        <v>4</v>
      </c>
      <c r="B2" s="8" t="s">
        <v>17</v>
      </c>
      <c r="C2" s="23">
        <v>52.631578947368425</v>
      </c>
      <c r="D2" s="23">
        <v>75</v>
      </c>
      <c r="E2" s="83">
        <f>7</f>
        <v>7</v>
      </c>
      <c r="F2" s="83">
        <f>7*3</f>
        <v>21</v>
      </c>
      <c r="G2" s="23">
        <f>D2-C2</f>
        <v>22.368421052631575</v>
      </c>
      <c r="H2" s="86" t="s">
        <v>98</v>
      </c>
      <c r="I2" s="11">
        <v>203.60824742268042</v>
      </c>
      <c r="J2" s="23">
        <v>120</v>
      </c>
    </row>
    <row r="3" spans="1:19" ht="28.8" x14ac:dyDescent="0.3">
      <c r="A3" s="14" t="s">
        <v>4</v>
      </c>
      <c r="B3" s="8" t="s">
        <v>16</v>
      </c>
      <c r="C3" s="23">
        <v>13.157894736842106</v>
      </c>
      <c r="D3" s="23">
        <v>13</v>
      </c>
      <c r="E3" s="83">
        <v>7</v>
      </c>
      <c r="F3" s="83">
        <v>7</v>
      </c>
      <c r="G3" s="23">
        <f t="shared" ref="G3:G21" si="0">D3-C3</f>
        <v>-0.1578947368421062</v>
      </c>
      <c r="H3" s="87" t="s">
        <v>85</v>
      </c>
      <c r="I3" s="11">
        <v>19.329896907216494</v>
      </c>
      <c r="J3" s="23">
        <v>0</v>
      </c>
    </row>
    <row r="4" spans="1:19" ht="43.2" x14ac:dyDescent="0.3">
      <c r="A4" s="7" t="s">
        <v>2</v>
      </c>
      <c r="B4" s="27" t="s">
        <v>21</v>
      </c>
      <c r="C4" s="23">
        <v>26</v>
      </c>
      <c r="D4" s="23">
        <v>26</v>
      </c>
      <c r="E4" s="83">
        <v>14</v>
      </c>
      <c r="F4" s="83">
        <v>14</v>
      </c>
      <c r="G4" s="23">
        <f t="shared" si="0"/>
        <v>0</v>
      </c>
      <c r="H4" s="88" t="s">
        <v>86</v>
      </c>
      <c r="I4" s="11">
        <v>26</v>
      </c>
      <c r="J4" s="11">
        <v>40</v>
      </c>
      <c r="L4" s="19"/>
      <c r="M4" s="19"/>
      <c r="N4" s="19"/>
      <c r="O4" s="19"/>
      <c r="P4" s="19"/>
      <c r="Q4" s="19"/>
      <c r="S4" s="20"/>
    </row>
    <row r="5" spans="1:19" x14ac:dyDescent="0.3">
      <c r="A5" s="7" t="s">
        <v>2</v>
      </c>
      <c r="B5" s="8" t="s">
        <v>15</v>
      </c>
      <c r="C5" s="23">
        <v>35</v>
      </c>
      <c r="D5" s="23">
        <v>35</v>
      </c>
      <c r="E5" s="83">
        <v>0</v>
      </c>
      <c r="F5" s="83">
        <v>0</v>
      </c>
      <c r="G5" s="23">
        <f t="shared" si="0"/>
        <v>0</v>
      </c>
      <c r="H5" s="87" t="s">
        <v>60</v>
      </c>
      <c r="I5" s="11">
        <v>44</v>
      </c>
      <c r="J5" s="23">
        <v>0</v>
      </c>
    </row>
    <row r="6" spans="1:19" ht="43.2" x14ac:dyDescent="0.3">
      <c r="A6" s="7" t="s">
        <v>4</v>
      </c>
      <c r="B6" s="8" t="s">
        <v>14</v>
      </c>
      <c r="C6" s="23">
        <v>109</v>
      </c>
      <c r="D6" s="23">
        <v>109</v>
      </c>
      <c r="E6" s="83">
        <v>50</v>
      </c>
      <c r="F6" s="83">
        <f>35</f>
        <v>35</v>
      </c>
      <c r="G6" s="23">
        <f t="shared" si="0"/>
        <v>0</v>
      </c>
      <c r="H6" s="89" t="s">
        <v>97</v>
      </c>
      <c r="I6" s="11">
        <v>226</v>
      </c>
      <c r="J6" s="23">
        <v>180</v>
      </c>
    </row>
    <row r="7" spans="1:19" ht="43.2" x14ac:dyDescent="0.3">
      <c r="A7" s="7" t="s">
        <v>4</v>
      </c>
      <c r="B7" s="8" t="s">
        <v>13</v>
      </c>
      <c r="C7" s="23">
        <v>20</v>
      </c>
      <c r="D7" s="23">
        <v>20</v>
      </c>
      <c r="E7" s="83">
        <v>14</v>
      </c>
      <c r="F7" s="83">
        <f>E7/2</f>
        <v>7</v>
      </c>
      <c r="G7" s="23">
        <f t="shared" si="0"/>
        <v>0</v>
      </c>
      <c r="H7" s="87" t="s">
        <v>87</v>
      </c>
      <c r="I7" s="11">
        <v>20</v>
      </c>
      <c r="J7" s="23">
        <v>20</v>
      </c>
    </row>
    <row r="8" spans="1:19" ht="28.8" x14ac:dyDescent="0.3">
      <c r="A8" s="7" t="s">
        <v>2</v>
      </c>
      <c r="B8" s="8" t="s">
        <v>12</v>
      </c>
      <c r="C8" s="23">
        <v>65.789473684210535</v>
      </c>
      <c r="D8" s="23">
        <v>33</v>
      </c>
      <c r="E8" s="83">
        <v>0</v>
      </c>
      <c r="F8" s="83">
        <v>0</v>
      </c>
      <c r="G8" s="23">
        <f t="shared" si="0"/>
        <v>-32.789473684210535</v>
      </c>
      <c r="H8" s="87" t="s">
        <v>65</v>
      </c>
      <c r="I8" s="11">
        <v>64.432989690721655</v>
      </c>
      <c r="J8" s="23">
        <v>20</v>
      </c>
    </row>
    <row r="9" spans="1:19" ht="72" x14ac:dyDescent="0.3">
      <c r="A9" s="7" t="s">
        <v>2</v>
      </c>
      <c r="B9" s="8" t="s">
        <v>11</v>
      </c>
      <c r="C9" s="23">
        <v>109</v>
      </c>
      <c r="D9" s="23">
        <v>109</v>
      </c>
      <c r="E9" s="83">
        <v>35</v>
      </c>
      <c r="F9" s="83">
        <v>21</v>
      </c>
      <c r="G9" s="23">
        <f t="shared" si="0"/>
        <v>0</v>
      </c>
      <c r="H9" s="87" t="s">
        <v>88</v>
      </c>
      <c r="I9" s="11">
        <v>226</v>
      </c>
      <c r="J9" s="23">
        <v>50</v>
      </c>
    </row>
    <row r="10" spans="1:19" ht="28.8" x14ac:dyDescent="0.3">
      <c r="A10" s="7" t="s">
        <v>4</v>
      </c>
      <c r="B10" s="8" t="s">
        <v>10</v>
      </c>
      <c r="C10" s="24">
        <v>36</v>
      </c>
      <c r="D10" s="24">
        <v>7</v>
      </c>
      <c r="E10" s="83">
        <v>7</v>
      </c>
      <c r="F10" s="83">
        <f>E10</f>
        <v>7</v>
      </c>
      <c r="G10" s="23">
        <f t="shared" si="0"/>
        <v>-29</v>
      </c>
      <c r="H10" s="90" t="s">
        <v>66</v>
      </c>
      <c r="I10" s="5">
        <v>107</v>
      </c>
      <c r="J10" s="23">
        <v>43</v>
      </c>
    </row>
    <row r="11" spans="1:19" x14ac:dyDescent="0.3">
      <c r="A11" s="7" t="s">
        <v>4</v>
      </c>
      <c r="B11" s="8" t="s">
        <v>9</v>
      </c>
      <c r="C11" s="24">
        <v>18</v>
      </c>
      <c r="D11" s="24">
        <v>18</v>
      </c>
      <c r="E11" s="83">
        <v>14</v>
      </c>
      <c r="F11" s="83">
        <f>E11</f>
        <v>14</v>
      </c>
      <c r="G11" s="23">
        <f t="shared" si="0"/>
        <v>0</v>
      </c>
      <c r="H11" s="90" t="s">
        <v>61</v>
      </c>
      <c r="I11" s="5">
        <v>36</v>
      </c>
      <c r="J11" s="23">
        <v>15</v>
      </c>
    </row>
    <row r="12" spans="1:19" ht="41.4" customHeight="1" x14ac:dyDescent="0.3">
      <c r="A12" s="7" t="s">
        <v>4</v>
      </c>
      <c r="B12" s="8" t="s">
        <v>8</v>
      </c>
      <c r="C12" s="23">
        <v>105</v>
      </c>
      <c r="D12" s="23">
        <v>105</v>
      </c>
      <c r="E12" s="83">
        <v>21</v>
      </c>
      <c r="F12" s="83">
        <f>3*7</f>
        <v>21</v>
      </c>
      <c r="G12" s="23">
        <f t="shared" si="0"/>
        <v>0</v>
      </c>
      <c r="H12" s="89" t="s">
        <v>89</v>
      </c>
      <c r="I12" s="11">
        <v>0</v>
      </c>
      <c r="J12" s="23">
        <v>100</v>
      </c>
    </row>
    <row r="13" spans="1:19" x14ac:dyDescent="0.3">
      <c r="A13" s="7" t="s">
        <v>4</v>
      </c>
      <c r="B13" s="28" t="s">
        <v>22</v>
      </c>
      <c r="C13" s="23">
        <v>132</v>
      </c>
      <c r="D13" s="23">
        <v>132</v>
      </c>
      <c r="E13" s="83">
        <v>21</v>
      </c>
      <c r="F13" s="83">
        <f>E13</f>
        <v>21</v>
      </c>
      <c r="G13" s="23">
        <f t="shared" si="0"/>
        <v>0</v>
      </c>
      <c r="H13" s="89" t="s">
        <v>62</v>
      </c>
      <c r="I13" s="11">
        <v>45</v>
      </c>
      <c r="J13" s="23">
        <v>90</v>
      </c>
    </row>
    <row r="14" spans="1:19" x14ac:dyDescent="0.3">
      <c r="A14" s="7" t="s">
        <v>2</v>
      </c>
      <c r="B14" s="8" t="s">
        <v>7</v>
      </c>
      <c r="C14" s="24">
        <v>39.473684210526315</v>
      </c>
      <c r="D14" s="24">
        <v>20</v>
      </c>
      <c r="E14" s="83">
        <v>0</v>
      </c>
      <c r="F14" s="83">
        <f>E14</f>
        <v>0</v>
      </c>
      <c r="G14" s="23">
        <f t="shared" si="0"/>
        <v>-19.473684210526315</v>
      </c>
      <c r="H14" s="91" t="s">
        <v>63</v>
      </c>
      <c r="I14" s="5">
        <v>51.546391752577321</v>
      </c>
      <c r="J14" s="23">
        <v>15</v>
      </c>
    </row>
    <row r="15" spans="1:19" ht="28.8" x14ac:dyDescent="0.3">
      <c r="A15" s="7" t="s">
        <v>5</v>
      </c>
      <c r="B15" s="10" t="s">
        <v>6</v>
      </c>
      <c r="C15" s="24">
        <v>500</v>
      </c>
      <c r="D15" s="24">
        <v>160</v>
      </c>
      <c r="E15" s="83">
        <f>27*7</f>
        <v>189</v>
      </c>
      <c r="F15" s="83">
        <f>22*7</f>
        <v>154</v>
      </c>
      <c r="G15" s="23">
        <f t="shared" si="0"/>
        <v>-340</v>
      </c>
      <c r="H15" s="90" t="s">
        <v>99</v>
      </c>
      <c r="I15" s="5">
        <v>603</v>
      </c>
      <c r="J15" s="23">
        <v>277</v>
      </c>
    </row>
    <row r="16" spans="1:19" ht="43.8" customHeight="1" x14ac:dyDescent="0.3">
      <c r="A16" s="7" t="s">
        <v>4</v>
      </c>
      <c r="B16" s="6" t="s">
        <v>3</v>
      </c>
      <c r="C16" s="24">
        <v>13</v>
      </c>
      <c r="D16" s="24">
        <v>13</v>
      </c>
      <c r="E16" s="83">
        <v>0</v>
      </c>
      <c r="F16" s="83">
        <f>E16</f>
        <v>0</v>
      </c>
      <c r="G16" s="23">
        <f t="shared" si="0"/>
        <v>0</v>
      </c>
      <c r="H16" s="119" t="s">
        <v>67</v>
      </c>
      <c r="I16" s="5">
        <v>97</v>
      </c>
      <c r="J16" s="23">
        <v>30</v>
      </c>
    </row>
    <row r="17" spans="1:10" ht="43.8" customHeight="1" x14ac:dyDescent="0.3">
      <c r="A17" s="7" t="s">
        <v>2</v>
      </c>
      <c r="B17" s="6" t="s">
        <v>1</v>
      </c>
      <c r="C17" s="24">
        <v>15</v>
      </c>
      <c r="D17" s="24">
        <v>0</v>
      </c>
      <c r="E17" s="83">
        <v>7</v>
      </c>
      <c r="F17" s="83">
        <f>E17</f>
        <v>7</v>
      </c>
      <c r="G17" s="23">
        <f t="shared" si="0"/>
        <v>-15</v>
      </c>
      <c r="H17" s="120"/>
      <c r="I17" s="5">
        <v>225</v>
      </c>
      <c r="J17" s="23">
        <v>0</v>
      </c>
    </row>
    <row r="18" spans="1:10" x14ac:dyDescent="0.3">
      <c r="A18" s="21"/>
      <c r="B18" s="22" t="s">
        <v>23</v>
      </c>
      <c r="C18" s="24">
        <v>28</v>
      </c>
      <c r="D18" s="24">
        <v>28</v>
      </c>
      <c r="E18" s="83">
        <v>7</v>
      </c>
      <c r="F18" s="83">
        <f>E18</f>
        <v>7</v>
      </c>
      <c r="G18" s="23">
        <f t="shared" si="0"/>
        <v>0</v>
      </c>
      <c r="H18" s="90" t="s">
        <v>64</v>
      </c>
      <c r="I18" s="5">
        <v>27</v>
      </c>
      <c r="J18" s="21"/>
    </row>
    <row r="19" spans="1:10" x14ac:dyDescent="0.3">
      <c r="B19" s="31" t="s">
        <v>28</v>
      </c>
      <c r="C19" s="2"/>
      <c r="D19" s="2"/>
      <c r="E19" s="83">
        <v>7</v>
      </c>
      <c r="F19" s="83">
        <f>E19</f>
        <v>7</v>
      </c>
      <c r="G19" s="2"/>
      <c r="H19" s="92" t="s">
        <v>68</v>
      </c>
    </row>
    <row r="20" spans="1:10" x14ac:dyDescent="0.3">
      <c r="B20" s="31" t="s">
        <v>90</v>
      </c>
      <c r="C20" s="2"/>
      <c r="D20" s="2"/>
      <c r="E20" s="83"/>
      <c r="F20" s="83">
        <f>E20</f>
        <v>0</v>
      </c>
      <c r="G20" s="2"/>
      <c r="H20" s="92" t="s">
        <v>91</v>
      </c>
    </row>
    <row r="21" spans="1:10" x14ac:dyDescent="0.3">
      <c r="C21" s="113">
        <f>SUM(C2:C18)</f>
        <v>1317.0526315789475</v>
      </c>
      <c r="D21" s="113">
        <f>SUM(D2:D18)</f>
        <v>903</v>
      </c>
      <c r="E21" s="114">
        <f>SUM(E2:E19)</f>
        <v>400</v>
      </c>
      <c r="F21" s="114">
        <f>SUM(F2:F19)</f>
        <v>343</v>
      </c>
      <c r="G21" s="115">
        <f t="shared" si="0"/>
        <v>-414.05263157894751</v>
      </c>
      <c r="H21" s="35" t="s">
        <v>25</v>
      </c>
      <c r="I21" s="4">
        <f>SUM(I2:I18)</f>
        <v>2020.9175257731958</v>
      </c>
      <c r="J21" s="4">
        <f>SUM(J2:J18)</f>
        <v>1000</v>
      </c>
    </row>
    <row r="22" spans="1:10" ht="6" customHeight="1" x14ac:dyDescent="0.3">
      <c r="B22" s="32"/>
      <c r="C22" s="33"/>
      <c r="D22" s="33"/>
      <c r="E22" s="33"/>
      <c r="F22" s="33"/>
      <c r="G22" s="33"/>
      <c r="H22" s="36"/>
      <c r="I22" s="4"/>
    </row>
    <row r="23" spans="1:10" x14ac:dyDescent="0.3">
      <c r="B23" s="38" t="s">
        <v>33</v>
      </c>
      <c r="C23" s="39"/>
      <c r="D23" s="39"/>
      <c r="E23" s="39">
        <f>180-14</f>
        <v>166</v>
      </c>
      <c r="F23" s="39"/>
    </row>
    <row r="24" spans="1:10" x14ac:dyDescent="0.3">
      <c r="B24" s="38" t="s">
        <v>34</v>
      </c>
      <c r="C24" s="39"/>
      <c r="D24" s="39"/>
      <c r="E24" s="40">
        <f>E21-E23</f>
        <v>234</v>
      </c>
      <c r="F24" s="40"/>
    </row>
    <row r="25" spans="1:10" x14ac:dyDescent="0.3">
      <c r="B25" s="38" t="s">
        <v>35</v>
      </c>
      <c r="C25" s="39"/>
      <c r="D25" s="39"/>
      <c r="E25" s="39">
        <v>217</v>
      </c>
      <c r="F25" s="39"/>
    </row>
    <row r="26" spans="1:10" s="41" customFormat="1" x14ac:dyDescent="0.3">
      <c r="B26" s="42" t="s">
        <v>36</v>
      </c>
      <c r="C26" s="43"/>
      <c r="D26" s="43"/>
      <c r="E26" s="44">
        <f>E21-E25</f>
        <v>183</v>
      </c>
      <c r="F26" s="44"/>
      <c r="G26" s="43"/>
      <c r="H26" s="45" t="s">
        <v>37</v>
      </c>
    </row>
  </sheetData>
  <mergeCells count="1">
    <mergeCell ref="H16:H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="70" zoomScaleNormal="70" workbookViewId="0">
      <selection activeCell="G2" sqref="G2"/>
    </sheetView>
  </sheetViews>
  <sheetFormatPr baseColWidth="10" defaultRowHeight="14.4" x14ac:dyDescent="0.3"/>
  <cols>
    <col min="1" max="1" width="2.5546875" bestFit="1" customWidth="1"/>
    <col min="2" max="2" width="40.88671875" style="3" bestFit="1" customWidth="1"/>
    <col min="3" max="5" width="11.77734375" style="1" customWidth="1"/>
    <col min="6" max="6" width="13.6640625" style="1" customWidth="1"/>
    <col min="7" max="7" width="107.6640625" style="37" bestFit="1" customWidth="1"/>
  </cols>
  <sheetData>
    <row r="1" spans="1:18" s="15" customFormat="1" ht="28.8" x14ac:dyDescent="0.3">
      <c r="A1" s="18"/>
      <c r="B1" s="6" t="s">
        <v>20</v>
      </c>
      <c r="C1" s="17" t="s">
        <v>19</v>
      </c>
      <c r="D1" s="17" t="s">
        <v>18</v>
      </c>
      <c r="E1" s="17" t="s">
        <v>32</v>
      </c>
      <c r="F1" s="17" t="s">
        <v>24</v>
      </c>
      <c r="G1" s="34" t="s">
        <v>0</v>
      </c>
      <c r="H1" s="82">
        <v>2021</v>
      </c>
      <c r="I1" s="63" t="s">
        <v>55</v>
      </c>
    </row>
    <row r="2" spans="1:18" ht="144" x14ac:dyDescent="0.3">
      <c r="A2" s="14" t="s">
        <v>4</v>
      </c>
      <c r="B2" s="8" t="s">
        <v>17</v>
      </c>
      <c r="C2" s="23">
        <v>52.631578947368425</v>
      </c>
      <c r="D2" s="23">
        <v>75</v>
      </c>
      <c r="E2" s="83">
        <f>7</f>
        <v>7</v>
      </c>
      <c r="F2" s="23">
        <f>D2-C2</f>
        <v>22.368421052631575</v>
      </c>
      <c r="G2" s="64" t="s">
        <v>59</v>
      </c>
      <c r="H2" s="11">
        <v>203.60824742268042</v>
      </c>
      <c r="I2" s="23">
        <v>120</v>
      </c>
    </row>
    <row r="3" spans="1:18" ht="28.8" x14ac:dyDescent="0.3">
      <c r="A3" s="14" t="s">
        <v>4</v>
      </c>
      <c r="B3" s="8" t="s">
        <v>16</v>
      </c>
      <c r="C3" s="23">
        <v>13.157894736842106</v>
      </c>
      <c r="D3" s="23">
        <v>13</v>
      </c>
      <c r="E3" s="83">
        <v>7</v>
      </c>
      <c r="F3" s="23">
        <f t="shared" ref="F3:F20" si="0">D3-C3</f>
        <v>-0.1578947368421062</v>
      </c>
      <c r="G3" s="13" t="s">
        <v>38</v>
      </c>
      <c r="H3" s="11">
        <v>19.329896907216494</v>
      </c>
      <c r="I3" s="23">
        <v>0</v>
      </c>
    </row>
    <row r="4" spans="1:18" ht="43.2" x14ac:dyDescent="0.3">
      <c r="A4" s="7" t="s">
        <v>2</v>
      </c>
      <c r="B4" s="27" t="s">
        <v>21</v>
      </c>
      <c r="C4" s="23">
        <v>26</v>
      </c>
      <c r="D4" s="23">
        <v>26</v>
      </c>
      <c r="E4" s="83">
        <v>14</v>
      </c>
      <c r="F4" s="23">
        <f t="shared" si="0"/>
        <v>0</v>
      </c>
      <c r="G4" s="25" t="s">
        <v>39</v>
      </c>
      <c r="H4" s="11">
        <v>26</v>
      </c>
      <c r="I4" s="11">
        <v>40</v>
      </c>
      <c r="K4" s="19"/>
      <c r="L4" s="19"/>
      <c r="M4" s="19"/>
      <c r="N4" s="19"/>
      <c r="O4" s="19"/>
      <c r="P4" s="19"/>
      <c r="R4" s="20"/>
    </row>
    <row r="5" spans="1:18" ht="86.4" x14ac:dyDescent="0.3">
      <c r="A5" s="7" t="s">
        <v>2</v>
      </c>
      <c r="B5" s="8" t="s">
        <v>15</v>
      </c>
      <c r="C5" s="23">
        <v>35</v>
      </c>
      <c r="D5" s="23">
        <v>35</v>
      </c>
      <c r="E5" s="83">
        <v>0</v>
      </c>
      <c r="F5" s="23">
        <f t="shared" si="0"/>
        <v>0</v>
      </c>
      <c r="G5" s="13" t="s">
        <v>30</v>
      </c>
      <c r="H5" s="11">
        <v>44</v>
      </c>
      <c r="I5" s="23">
        <v>0</v>
      </c>
    </row>
    <row r="6" spans="1:18" ht="43.2" x14ac:dyDescent="0.3">
      <c r="A6" s="7" t="s">
        <v>4</v>
      </c>
      <c r="B6" s="8" t="s">
        <v>14</v>
      </c>
      <c r="C6" s="23">
        <v>109</v>
      </c>
      <c r="D6" s="23">
        <v>109</v>
      </c>
      <c r="E6" s="83">
        <v>50</v>
      </c>
      <c r="F6" s="23">
        <f t="shared" si="0"/>
        <v>0</v>
      </c>
      <c r="G6" s="12" t="s">
        <v>40</v>
      </c>
      <c r="H6" s="11">
        <v>226</v>
      </c>
      <c r="I6" s="23">
        <v>180</v>
      </c>
    </row>
    <row r="7" spans="1:18" ht="28.8" x14ac:dyDescent="0.3">
      <c r="A7" s="7" t="s">
        <v>4</v>
      </c>
      <c r="B7" s="8" t="s">
        <v>13</v>
      </c>
      <c r="C7" s="23">
        <v>20</v>
      </c>
      <c r="D7" s="23">
        <v>20</v>
      </c>
      <c r="E7" s="83">
        <v>14</v>
      </c>
      <c r="F7" s="23">
        <f t="shared" si="0"/>
        <v>0</v>
      </c>
      <c r="G7" s="13" t="s">
        <v>41</v>
      </c>
      <c r="H7" s="11">
        <v>20</v>
      </c>
      <c r="I7" s="23">
        <v>20</v>
      </c>
    </row>
    <row r="8" spans="1:18" ht="28.8" x14ac:dyDescent="0.3">
      <c r="A8" s="7" t="s">
        <v>2</v>
      </c>
      <c r="B8" s="8" t="s">
        <v>12</v>
      </c>
      <c r="C8" s="23">
        <v>65.789473684210535</v>
      </c>
      <c r="D8" s="23">
        <v>33</v>
      </c>
      <c r="E8" s="83">
        <v>0</v>
      </c>
      <c r="F8" s="23">
        <f t="shared" si="0"/>
        <v>-32.789473684210535</v>
      </c>
      <c r="G8" s="13" t="s">
        <v>42</v>
      </c>
      <c r="H8" s="11">
        <v>64.432989690721655</v>
      </c>
      <c r="I8" s="23">
        <v>20</v>
      </c>
    </row>
    <row r="9" spans="1:18" ht="72" x14ac:dyDescent="0.3">
      <c r="A9" s="7" t="s">
        <v>2</v>
      </c>
      <c r="B9" s="8" t="s">
        <v>11</v>
      </c>
      <c r="C9" s="23">
        <v>109</v>
      </c>
      <c r="D9" s="23">
        <v>109</v>
      </c>
      <c r="E9" s="83">
        <v>35</v>
      </c>
      <c r="F9" s="23">
        <f t="shared" si="0"/>
        <v>0</v>
      </c>
      <c r="G9" s="13" t="s">
        <v>43</v>
      </c>
      <c r="H9" s="11">
        <v>226</v>
      </c>
      <c r="I9" s="23">
        <v>50</v>
      </c>
    </row>
    <row r="10" spans="1:18" ht="57.6" x14ac:dyDescent="0.3">
      <c r="A10" s="7" t="s">
        <v>4</v>
      </c>
      <c r="B10" s="8" t="s">
        <v>10</v>
      </c>
      <c r="C10" s="24">
        <v>36</v>
      </c>
      <c r="D10" s="24">
        <v>7</v>
      </c>
      <c r="E10" s="83">
        <v>7</v>
      </c>
      <c r="F10" s="23">
        <f t="shared" si="0"/>
        <v>-29</v>
      </c>
      <c r="G10" s="9" t="s">
        <v>27</v>
      </c>
      <c r="H10" s="5">
        <v>107</v>
      </c>
      <c r="I10" s="23">
        <v>43</v>
      </c>
    </row>
    <row r="11" spans="1:18" x14ac:dyDescent="0.3">
      <c r="A11" s="7" t="s">
        <v>4</v>
      </c>
      <c r="B11" s="8" t="s">
        <v>9</v>
      </c>
      <c r="C11" s="24">
        <v>18</v>
      </c>
      <c r="D11" s="24">
        <v>18</v>
      </c>
      <c r="E11" s="83">
        <v>14</v>
      </c>
      <c r="F11" s="23">
        <f t="shared" si="0"/>
        <v>0</v>
      </c>
      <c r="G11" s="9" t="s">
        <v>26</v>
      </c>
      <c r="H11" s="5">
        <v>36</v>
      </c>
      <c r="I11" s="23">
        <v>15</v>
      </c>
    </row>
    <row r="12" spans="1:18" ht="86.4" x14ac:dyDescent="0.3">
      <c r="A12" s="7" t="s">
        <v>4</v>
      </c>
      <c r="B12" s="8" t="s">
        <v>8</v>
      </c>
      <c r="C12" s="23">
        <v>105</v>
      </c>
      <c r="D12" s="23">
        <v>105</v>
      </c>
      <c r="E12" s="83">
        <v>21</v>
      </c>
      <c r="F12" s="23">
        <f t="shared" si="0"/>
        <v>0</v>
      </c>
      <c r="G12" s="12" t="s">
        <v>44</v>
      </c>
      <c r="H12" s="11">
        <v>0</v>
      </c>
      <c r="I12" s="23">
        <v>100</v>
      </c>
    </row>
    <row r="13" spans="1:18" ht="72" x14ac:dyDescent="0.3">
      <c r="A13" s="7" t="s">
        <v>4</v>
      </c>
      <c r="B13" s="28" t="s">
        <v>22</v>
      </c>
      <c r="C13" s="23">
        <v>132</v>
      </c>
      <c r="D13" s="23">
        <v>132</v>
      </c>
      <c r="E13" s="83">
        <v>21</v>
      </c>
      <c r="F13" s="23">
        <f t="shared" si="0"/>
        <v>0</v>
      </c>
      <c r="G13" s="12" t="s">
        <v>45</v>
      </c>
      <c r="H13" s="11">
        <v>45</v>
      </c>
      <c r="I13" s="23">
        <v>90</v>
      </c>
    </row>
    <row r="14" spans="1:18" ht="43.2" x14ac:dyDescent="0.3">
      <c r="A14" s="7" t="s">
        <v>2</v>
      </c>
      <c r="B14" s="8" t="s">
        <v>7</v>
      </c>
      <c r="C14" s="24">
        <v>39.473684210526315</v>
      </c>
      <c r="D14" s="24">
        <v>20</v>
      </c>
      <c r="E14" s="83">
        <v>0</v>
      </c>
      <c r="F14" s="23">
        <f t="shared" si="0"/>
        <v>-19.473684210526315</v>
      </c>
      <c r="G14" s="26" t="s">
        <v>31</v>
      </c>
      <c r="H14" s="5">
        <v>51.546391752577321</v>
      </c>
      <c r="I14" s="23">
        <v>15</v>
      </c>
    </row>
    <row r="15" spans="1:18" ht="216" x14ac:dyDescent="0.3">
      <c r="A15" s="7" t="s">
        <v>5</v>
      </c>
      <c r="B15" s="10" t="s">
        <v>6</v>
      </c>
      <c r="C15" s="24">
        <v>500</v>
      </c>
      <c r="D15" s="24">
        <v>160</v>
      </c>
      <c r="E15" s="83">
        <f>27*7</f>
        <v>189</v>
      </c>
      <c r="F15" s="23">
        <f t="shared" si="0"/>
        <v>-340</v>
      </c>
      <c r="G15" s="9" t="s">
        <v>46</v>
      </c>
      <c r="H15" s="5">
        <v>603</v>
      </c>
      <c r="I15" s="23">
        <v>277</v>
      </c>
    </row>
    <row r="16" spans="1:18" ht="43.8" customHeight="1" x14ac:dyDescent="0.3">
      <c r="A16" s="7" t="s">
        <v>4</v>
      </c>
      <c r="B16" s="6" t="s">
        <v>3</v>
      </c>
      <c r="C16" s="24">
        <v>13</v>
      </c>
      <c r="D16" s="24">
        <v>13</v>
      </c>
      <c r="E16" s="83">
        <v>0</v>
      </c>
      <c r="F16" s="23">
        <f t="shared" si="0"/>
        <v>0</v>
      </c>
      <c r="G16" s="121" t="s">
        <v>47</v>
      </c>
      <c r="H16" s="5">
        <v>97</v>
      </c>
      <c r="I16" s="23">
        <v>30</v>
      </c>
    </row>
    <row r="17" spans="1:9" ht="43.8" customHeight="1" x14ac:dyDescent="0.3">
      <c r="A17" s="7" t="s">
        <v>2</v>
      </c>
      <c r="B17" s="6" t="s">
        <v>1</v>
      </c>
      <c r="C17" s="24">
        <v>15</v>
      </c>
      <c r="D17" s="24">
        <v>0</v>
      </c>
      <c r="E17" s="83">
        <v>7</v>
      </c>
      <c r="F17" s="23">
        <f t="shared" si="0"/>
        <v>-15</v>
      </c>
      <c r="G17" s="121"/>
      <c r="H17" s="5">
        <v>225</v>
      </c>
      <c r="I17" s="23">
        <v>0</v>
      </c>
    </row>
    <row r="18" spans="1:9" x14ac:dyDescent="0.3">
      <c r="A18" s="21"/>
      <c r="B18" s="22" t="s">
        <v>23</v>
      </c>
      <c r="C18" s="24">
        <v>28</v>
      </c>
      <c r="D18" s="24">
        <v>28</v>
      </c>
      <c r="E18" s="83">
        <v>7</v>
      </c>
      <c r="F18" s="23">
        <f t="shared" si="0"/>
        <v>0</v>
      </c>
      <c r="G18" s="9"/>
      <c r="H18" s="5">
        <v>27</v>
      </c>
      <c r="I18" s="21"/>
    </row>
    <row r="19" spans="1:9" x14ac:dyDescent="0.3">
      <c r="B19" s="31" t="s">
        <v>28</v>
      </c>
      <c r="C19" s="61"/>
      <c r="D19" s="61"/>
      <c r="E19" s="84">
        <v>7</v>
      </c>
      <c r="F19" s="61"/>
      <c r="G19" s="62" t="s">
        <v>29</v>
      </c>
    </row>
    <row r="20" spans="1:9" x14ac:dyDescent="0.3">
      <c r="C20" s="29">
        <f>SUM(C2:C18)</f>
        <v>1317.0526315789475</v>
      </c>
      <c r="D20" s="29">
        <f>SUM(D2:D18)</f>
        <v>903</v>
      </c>
      <c r="E20" s="85">
        <f>SUM(E2:E19)</f>
        <v>400</v>
      </c>
      <c r="F20" s="30">
        <f t="shared" si="0"/>
        <v>-414.05263157894751</v>
      </c>
      <c r="G20" s="35" t="s">
        <v>25</v>
      </c>
      <c r="H20" s="4">
        <f>SUM(H2:H18)</f>
        <v>2020.9175257731958</v>
      </c>
      <c r="I20" s="4">
        <f>SUM(I2:I18)</f>
        <v>1000</v>
      </c>
    </row>
    <row r="21" spans="1:9" ht="6" customHeight="1" x14ac:dyDescent="0.3">
      <c r="B21" s="32"/>
      <c r="C21" s="33"/>
      <c r="D21" s="33"/>
      <c r="E21" s="33"/>
      <c r="F21" s="33"/>
      <c r="G21" s="36"/>
      <c r="H21" s="4"/>
    </row>
    <row r="22" spans="1:9" x14ac:dyDescent="0.3">
      <c r="B22" s="38" t="s">
        <v>33</v>
      </c>
      <c r="C22" s="39"/>
      <c r="D22" s="39"/>
      <c r="E22" s="39">
        <f>180-14</f>
        <v>166</v>
      </c>
    </row>
    <row r="23" spans="1:9" x14ac:dyDescent="0.3">
      <c r="B23" s="38" t="s">
        <v>34</v>
      </c>
      <c r="C23" s="39"/>
      <c r="D23" s="39"/>
      <c r="E23" s="40">
        <f>E20-E22</f>
        <v>234</v>
      </c>
    </row>
    <row r="24" spans="1:9" x14ac:dyDescent="0.3">
      <c r="B24" s="38" t="s">
        <v>35</v>
      </c>
      <c r="C24" s="39"/>
      <c r="D24" s="39"/>
      <c r="E24" s="39">
        <v>217</v>
      </c>
    </row>
    <row r="25" spans="1:9" s="41" customFormat="1" x14ac:dyDescent="0.3">
      <c r="B25" s="42" t="s">
        <v>36</v>
      </c>
      <c r="C25" s="43"/>
      <c r="D25" s="43"/>
      <c r="E25" s="44">
        <f>E20-E24</f>
        <v>183</v>
      </c>
      <c r="F25" s="43"/>
      <c r="G25" s="45" t="s">
        <v>37</v>
      </c>
    </row>
  </sheetData>
  <mergeCells count="1">
    <mergeCell ref="G16:G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7"/>
  <sheetViews>
    <sheetView tabSelected="1" topLeftCell="B1" zoomScale="86" workbookViewId="0">
      <selection activeCell="X17" sqref="X17"/>
    </sheetView>
  </sheetViews>
  <sheetFormatPr baseColWidth="10" defaultRowHeight="14.4" x14ac:dyDescent="0.3"/>
  <cols>
    <col min="2" max="2" width="10.21875" customWidth="1"/>
    <col min="3" max="3" width="12" customWidth="1"/>
    <col min="6" max="6" width="6.77734375" bestFit="1" customWidth="1"/>
    <col min="7" max="7" width="6.6640625" bestFit="1" customWidth="1"/>
    <col min="8" max="8" width="6.77734375" bestFit="1" customWidth="1"/>
    <col min="9" max="9" width="7.6640625" bestFit="1" customWidth="1"/>
    <col min="10" max="10" width="43.109375" customWidth="1"/>
    <col min="11" max="11" width="7.6640625" bestFit="1" customWidth="1"/>
    <col min="12" max="12" width="6.88671875" bestFit="1" customWidth="1"/>
    <col min="13" max="13" width="8.88671875" customWidth="1"/>
    <col min="14" max="14" width="6.5546875" customWidth="1"/>
    <col min="15" max="22" width="7.5546875" customWidth="1"/>
    <col min="23" max="23" width="7.6640625" bestFit="1" customWidth="1"/>
    <col min="24" max="24" width="7.109375" bestFit="1" customWidth="1"/>
    <col min="25" max="25" width="8.21875" bestFit="1" customWidth="1"/>
    <col min="26" max="26" width="6.6640625" bestFit="1" customWidth="1"/>
    <col min="27" max="27" width="7.109375" bestFit="1" customWidth="1"/>
    <col min="28" max="28" width="7.33203125" bestFit="1" customWidth="1"/>
    <col min="29" max="29" width="6.88671875" bestFit="1" customWidth="1"/>
    <col min="30" max="30" width="7.77734375" bestFit="1" customWidth="1"/>
    <col min="31" max="31" width="7.44140625" bestFit="1" customWidth="1"/>
    <col min="32" max="32" width="6.5546875" bestFit="1" customWidth="1"/>
    <col min="33" max="33" width="6.6640625" bestFit="1" customWidth="1"/>
    <col min="34" max="34" width="6.5546875" bestFit="1" customWidth="1"/>
  </cols>
  <sheetData>
    <row r="1" spans="1:34" x14ac:dyDescent="0.3">
      <c r="A1" s="15" t="s">
        <v>92</v>
      </c>
    </row>
    <row r="2" spans="1:34" x14ac:dyDescent="0.3">
      <c r="A2" s="15"/>
      <c r="I2" s="103">
        <f>SUM(K2:V2)</f>
        <v>56</v>
      </c>
      <c r="J2" t="s">
        <v>82</v>
      </c>
      <c r="K2" s="108">
        <f>'2020_P2'!C8</f>
        <v>5</v>
      </c>
      <c r="L2" s="108">
        <f>'2020_P2'!D8</f>
        <v>6</v>
      </c>
      <c r="M2" s="108">
        <f>'2020_P2'!E8</f>
        <v>5</v>
      </c>
      <c r="N2" s="108">
        <f>'2020_P2'!F8</f>
        <v>0</v>
      </c>
      <c r="O2" s="108">
        <f>'2020_P2'!G8</f>
        <v>0</v>
      </c>
      <c r="P2" s="108">
        <f>'2020_P2'!H8</f>
        <v>0</v>
      </c>
      <c r="Q2" s="108">
        <f>'2020_P2'!I8</f>
        <v>0</v>
      </c>
      <c r="R2" s="109">
        <v>0</v>
      </c>
      <c r="S2" s="108">
        <f>'2020_P2'!J8</f>
        <v>11</v>
      </c>
      <c r="T2" s="108">
        <f>'2020_P2'!K8</f>
        <v>10</v>
      </c>
      <c r="U2" s="108">
        <f>'2020_P2'!L8</f>
        <v>10</v>
      </c>
      <c r="V2" s="108">
        <f>'2020_P2'!M8</f>
        <v>9</v>
      </c>
      <c r="W2" s="103"/>
    </row>
    <row r="3" spans="1:34" ht="15" thickBot="1" x14ac:dyDescent="0.35">
      <c r="A3" s="15"/>
    </row>
    <row r="4" spans="1:34" x14ac:dyDescent="0.3">
      <c r="B4" s="50"/>
      <c r="C4" s="50"/>
      <c r="D4" s="50"/>
      <c r="E4" s="50"/>
      <c r="F4" s="1"/>
      <c r="G4" s="1"/>
      <c r="H4" s="1"/>
      <c r="I4" s="1"/>
      <c r="J4" s="127" t="s">
        <v>58</v>
      </c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9"/>
    </row>
    <row r="5" spans="1:34" x14ac:dyDescent="0.3">
      <c r="B5" s="122" t="s">
        <v>93</v>
      </c>
      <c r="C5" s="122"/>
      <c r="D5" s="52"/>
      <c r="E5" s="52"/>
      <c r="F5" s="125" t="s">
        <v>52</v>
      </c>
      <c r="G5" s="126"/>
      <c r="H5" s="126"/>
      <c r="I5" s="126"/>
      <c r="J5" s="65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66"/>
    </row>
    <row r="6" spans="1:34" ht="28.2" customHeight="1" thickBot="1" x14ac:dyDescent="0.35">
      <c r="B6" s="116">
        <f>SUM(B9:B26)</f>
        <v>343</v>
      </c>
      <c r="C6" s="116">
        <f>SUM(C9:C26)</f>
        <v>1000</v>
      </c>
      <c r="D6" s="53"/>
      <c r="E6" s="53"/>
      <c r="F6" s="47">
        <f>SUM(F9:F26)</f>
        <v>50</v>
      </c>
      <c r="G6" s="47">
        <f>SUM(G9:G26)</f>
        <v>355</v>
      </c>
      <c r="H6" s="47">
        <f>SUM(H9:H26)</f>
        <v>1</v>
      </c>
      <c r="I6" s="47">
        <f>SUM(I9:I26)</f>
        <v>7.1</v>
      </c>
      <c r="J6" s="67" t="str">
        <f>SUM(K6:V6)&amp; " Lingots vendus"</f>
        <v>49 Lingots vendus</v>
      </c>
      <c r="K6" s="107">
        <f>SUM(K9:K24,K26)</f>
        <v>5</v>
      </c>
      <c r="L6" s="107">
        <f t="shared" ref="L6:V6" si="0">SUM(L9:L24,L26)</f>
        <v>6</v>
      </c>
      <c r="M6" s="107">
        <f t="shared" si="0"/>
        <v>5</v>
      </c>
      <c r="N6" s="107">
        <f t="shared" si="0"/>
        <v>5</v>
      </c>
      <c r="O6" s="107">
        <f t="shared" si="0"/>
        <v>0</v>
      </c>
      <c r="P6" s="107">
        <f t="shared" si="0"/>
        <v>1</v>
      </c>
      <c r="Q6" s="107">
        <f t="shared" si="0"/>
        <v>0</v>
      </c>
      <c r="R6" s="107">
        <f t="shared" si="0"/>
        <v>0</v>
      </c>
      <c r="S6" s="107">
        <f t="shared" si="0"/>
        <v>5</v>
      </c>
      <c r="T6" s="107">
        <f t="shared" si="0"/>
        <v>10</v>
      </c>
      <c r="U6" s="107">
        <f t="shared" si="0"/>
        <v>8</v>
      </c>
      <c r="V6" s="107">
        <f t="shared" si="0"/>
        <v>4</v>
      </c>
    </row>
    <row r="7" spans="1:34" ht="55.2" customHeight="1" thickBot="1" x14ac:dyDescent="0.35">
      <c r="B7" s="112" t="s">
        <v>83</v>
      </c>
      <c r="C7" s="112" t="s">
        <v>55</v>
      </c>
      <c r="D7" s="54">
        <f>(G6-B6)/B6</f>
        <v>3.4985422740524783E-2</v>
      </c>
      <c r="E7" s="47"/>
      <c r="F7" t="s">
        <v>49</v>
      </c>
      <c r="G7" t="s">
        <v>50</v>
      </c>
      <c r="H7" t="s">
        <v>49</v>
      </c>
      <c r="I7" t="s">
        <v>50</v>
      </c>
      <c r="J7" s="67" t="str">
        <f>SUM(K7:V7)&amp; " Lingots produits"</f>
        <v>44 Lingots produits</v>
      </c>
      <c r="K7" s="17">
        <f>SUM(K9:K27)</f>
        <v>10</v>
      </c>
      <c r="L7" s="17">
        <f t="shared" ref="L7:V7" si="1">SUM(L9:L27)</f>
        <v>6</v>
      </c>
      <c r="M7" s="17">
        <f t="shared" si="1"/>
        <v>5</v>
      </c>
      <c r="N7" s="17">
        <f t="shared" si="1"/>
        <v>0</v>
      </c>
      <c r="O7" s="17">
        <f t="shared" si="1"/>
        <v>0</v>
      </c>
      <c r="P7" s="17">
        <f t="shared" si="1"/>
        <v>0</v>
      </c>
      <c r="Q7" s="17">
        <f t="shared" si="1"/>
        <v>0</v>
      </c>
      <c r="R7" s="17">
        <f t="shared" si="1"/>
        <v>0</v>
      </c>
      <c r="S7" s="17">
        <f t="shared" si="1"/>
        <v>1</v>
      </c>
      <c r="T7" s="17">
        <f t="shared" si="1"/>
        <v>10</v>
      </c>
      <c r="U7" s="17">
        <f t="shared" si="1"/>
        <v>8</v>
      </c>
      <c r="V7" s="17">
        <f t="shared" si="1"/>
        <v>4</v>
      </c>
      <c r="W7">
        <f t="shared" ref="W7:AH7" si="2">SUM(W9:W26)</f>
        <v>0</v>
      </c>
      <c r="X7">
        <f t="shared" si="2"/>
        <v>0</v>
      </c>
      <c r="Y7">
        <f t="shared" si="2"/>
        <v>1</v>
      </c>
      <c r="Z7">
        <f t="shared" si="2"/>
        <v>0</v>
      </c>
      <c r="AA7">
        <f t="shared" si="2"/>
        <v>0</v>
      </c>
      <c r="AB7">
        <f t="shared" si="2"/>
        <v>0</v>
      </c>
      <c r="AC7">
        <f t="shared" si="2"/>
        <v>0</v>
      </c>
      <c r="AD7">
        <f t="shared" si="2"/>
        <v>0</v>
      </c>
      <c r="AE7">
        <f t="shared" si="2"/>
        <v>0</v>
      </c>
      <c r="AF7">
        <f t="shared" si="2"/>
        <v>0</v>
      </c>
      <c r="AG7">
        <f t="shared" si="2"/>
        <v>0</v>
      </c>
      <c r="AH7">
        <f t="shared" si="2"/>
        <v>0</v>
      </c>
    </row>
    <row r="8" spans="1:34" x14ac:dyDescent="0.3">
      <c r="B8" s="110">
        <v>2020</v>
      </c>
      <c r="C8" s="111">
        <v>2021</v>
      </c>
      <c r="D8" s="1" t="s">
        <v>51</v>
      </c>
      <c r="E8" s="1" t="s">
        <v>53</v>
      </c>
      <c r="F8" s="123">
        <v>2020</v>
      </c>
      <c r="G8" s="123"/>
      <c r="H8" s="124">
        <v>2021</v>
      </c>
      <c r="I8" s="124"/>
      <c r="J8" s="68" t="s">
        <v>20</v>
      </c>
      <c r="K8" s="104">
        <v>43831</v>
      </c>
      <c r="L8" s="105">
        <v>43862</v>
      </c>
      <c r="M8" s="105">
        <v>43891</v>
      </c>
      <c r="N8" s="105">
        <v>43922</v>
      </c>
      <c r="O8" s="105">
        <v>43952</v>
      </c>
      <c r="P8" s="105">
        <v>43983</v>
      </c>
      <c r="Q8" s="105">
        <v>44013</v>
      </c>
      <c r="R8" s="105">
        <v>44044</v>
      </c>
      <c r="S8" s="105">
        <v>44075</v>
      </c>
      <c r="T8" s="105">
        <v>44105</v>
      </c>
      <c r="U8" s="105">
        <v>44136</v>
      </c>
      <c r="V8" s="106">
        <v>44166</v>
      </c>
      <c r="W8" s="75">
        <v>44197</v>
      </c>
      <c r="X8" s="46">
        <v>44228</v>
      </c>
      <c r="Y8" s="46">
        <v>44256</v>
      </c>
      <c r="Z8" s="46">
        <v>44287</v>
      </c>
      <c r="AA8" s="46">
        <v>44317</v>
      </c>
      <c r="AB8" s="46">
        <v>44348</v>
      </c>
      <c r="AC8" s="46">
        <v>44378</v>
      </c>
      <c r="AD8" s="46">
        <v>44409</v>
      </c>
      <c r="AE8" s="46">
        <v>44440</v>
      </c>
      <c r="AF8" s="46">
        <v>44470</v>
      </c>
      <c r="AG8" s="46">
        <v>44501</v>
      </c>
      <c r="AH8" s="46">
        <v>44531</v>
      </c>
    </row>
    <row r="9" spans="1:34" x14ac:dyDescent="0.3">
      <c r="B9" s="59">
        <f>VLOOKUP($J9,'vision EcoTI'!$B$2:$AA$19,MATCH(B$7,'vision EcoTI'!$B$1:$AA$1,0),FALSE)</f>
        <v>21</v>
      </c>
      <c r="C9" s="59">
        <f>VLOOKUP($J9,'vision EcoTI'!$B$2:$AA$19,MATCH(C$7,'vision EcoTI'!$B$1:$AA$1,0),FALSE)</f>
        <v>120</v>
      </c>
      <c r="D9" s="60">
        <f>IF(B9&lt;&gt;0,ABS(G9-B9)/B9,IF(G9&lt;&gt;0,"",""))</f>
        <v>1.428571428571415E-2</v>
      </c>
      <c r="E9" s="49"/>
      <c r="F9" s="2">
        <f>SUM(K9:V9)</f>
        <v>3</v>
      </c>
      <c r="G9" s="2">
        <f>F9*7.1</f>
        <v>21.299999999999997</v>
      </c>
      <c r="H9" s="2">
        <f>SUM(W9:AH9)</f>
        <v>0</v>
      </c>
      <c r="I9" s="2">
        <f t="shared" ref="I9:I26" si="3">H9*7.1</f>
        <v>0</v>
      </c>
      <c r="J9" s="69" t="s">
        <v>17</v>
      </c>
      <c r="K9" s="65"/>
      <c r="L9" s="21"/>
      <c r="M9" s="21"/>
      <c r="N9" s="21"/>
      <c r="O9" s="21"/>
      <c r="P9" s="21"/>
      <c r="Q9" s="21"/>
      <c r="R9" s="21"/>
      <c r="S9" s="18"/>
      <c r="T9" s="18"/>
      <c r="U9" s="18">
        <v>3</v>
      </c>
      <c r="V9" s="130"/>
    </row>
    <row r="10" spans="1:34" x14ac:dyDescent="0.3">
      <c r="B10" s="59">
        <f>VLOOKUP($J10,'vision EcoTI'!$B$2:$AA$19,MATCH(B$7,'vision EcoTI'!$B$1:$AA$1,0),FALSE)</f>
        <v>7</v>
      </c>
      <c r="C10" s="59">
        <f>VLOOKUP($J10,'vision EcoTI'!$B$2:$AA$19,MATCH(C$7,'vision EcoTI'!$B$1:$AA$1,0),FALSE)</f>
        <v>0</v>
      </c>
      <c r="D10" s="60">
        <f t="shared" ref="D10:D26" si="4">IF(B10&lt;&gt;0,(G10-B10)/B10,IF(G10&lt;&gt;0,"",""))</f>
        <v>1.4285714285714235E-2</v>
      </c>
      <c r="E10" s="49"/>
      <c r="F10" s="2">
        <f t="shared" ref="F10:F26" si="5">SUM(K10:V10)</f>
        <v>1</v>
      </c>
      <c r="G10" s="2">
        <f t="shared" ref="G10:G26" si="6">F10*7.1</f>
        <v>7.1</v>
      </c>
      <c r="H10" s="2">
        <f t="shared" ref="H10:H26" si="7">SUM(W10:AH10)</f>
        <v>0</v>
      </c>
      <c r="I10" s="2">
        <f t="shared" si="3"/>
        <v>0</v>
      </c>
      <c r="J10" s="69" t="s">
        <v>16</v>
      </c>
      <c r="K10" s="65"/>
      <c r="L10" s="21"/>
      <c r="M10" s="21"/>
      <c r="N10" s="21"/>
      <c r="O10" s="21"/>
      <c r="P10" s="21"/>
      <c r="Q10" s="21"/>
      <c r="R10" s="21"/>
      <c r="S10" s="18"/>
      <c r="T10" s="18"/>
      <c r="U10" s="18">
        <v>1</v>
      </c>
      <c r="V10" s="130"/>
    </row>
    <row r="11" spans="1:34" x14ac:dyDescent="0.3">
      <c r="B11" s="59">
        <f>VLOOKUP($J11,'vision EcoTI'!$B$2:$AA$19,MATCH(B$7,'vision EcoTI'!$B$1:$AA$1,0),FALSE)</f>
        <v>14</v>
      </c>
      <c r="C11" s="59">
        <f>VLOOKUP($J11,'vision EcoTI'!$B$2:$AA$19,MATCH(C$7,'vision EcoTI'!$B$1:$AA$1,0),FALSE)</f>
        <v>40</v>
      </c>
      <c r="D11" s="60">
        <f t="shared" si="4"/>
        <v>1.4285714285714235E-2</v>
      </c>
      <c r="E11" s="49"/>
      <c r="F11" s="2">
        <f t="shared" si="5"/>
        <v>2</v>
      </c>
      <c r="G11" s="2">
        <f t="shared" si="6"/>
        <v>14.2</v>
      </c>
      <c r="H11" s="2">
        <f t="shared" si="7"/>
        <v>0</v>
      </c>
      <c r="I11" s="2">
        <f t="shared" si="3"/>
        <v>0</v>
      </c>
      <c r="J11" s="70" t="s">
        <v>21</v>
      </c>
      <c r="K11" s="65"/>
      <c r="L11" s="21"/>
      <c r="M11" s="21"/>
      <c r="N11" s="93">
        <v>2</v>
      </c>
      <c r="O11" s="21"/>
      <c r="P11" s="21"/>
      <c r="Q11" s="21"/>
      <c r="R11" s="21"/>
      <c r="S11" s="18"/>
      <c r="T11" s="18"/>
      <c r="U11" s="18"/>
      <c r="V11" s="130"/>
    </row>
    <row r="12" spans="1:34" x14ac:dyDescent="0.3">
      <c r="B12" s="59">
        <f>VLOOKUP($J12,'vision EcoTI'!$B$2:$AA$19,MATCH(B$7,'vision EcoTI'!$B$1:$AA$1,0),FALSE)</f>
        <v>0</v>
      </c>
      <c r="C12" s="59">
        <f>VLOOKUP($J12,'vision EcoTI'!$B$2:$AA$19,MATCH(C$7,'vision EcoTI'!$B$1:$AA$1,0),FALSE)</f>
        <v>0</v>
      </c>
      <c r="D12" s="60" t="str">
        <f t="shared" si="4"/>
        <v/>
      </c>
      <c r="E12" s="49"/>
      <c r="F12" s="2">
        <f>SUM(K12:V12)</f>
        <v>0</v>
      </c>
      <c r="G12" s="2">
        <f t="shared" si="6"/>
        <v>0</v>
      </c>
      <c r="H12" s="2">
        <f t="shared" si="7"/>
        <v>0</v>
      </c>
      <c r="I12" s="2">
        <f t="shared" si="3"/>
        <v>0</v>
      </c>
      <c r="J12" s="69" t="s">
        <v>15</v>
      </c>
      <c r="K12" s="65"/>
      <c r="L12" s="21"/>
      <c r="M12" s="21"/>
      <c r="N12" s="21"/>
      <c r="O12" s="21"/>
      <c r="P12" s="21"/>
      <c r="Q12" s="21"/>
      <c r="R12" s="21"/>
      <c r="S12" s="18"/>
      <c r="T12" s="18"/>
      <c r="U12" s="18"/>
      <c r="V12" s="130"/>
    </row>
    <row r="13" spans="1:34" x14ac:dyDescent="0.3">
      <c r="A13" s="55"/>
      <c r="B13" s="59">
        <f>VLOOKUP($J13,'vision EcoTI'!$B$2:$AA$19,MATCH(B$7,'vision EcoTI'!$B$1:$AA$1,0),FALSE)</f>
        <v>35</v>
      </c>
      <c r="C13" s="59">
        <f>VLOOKUP($J13,'vision EcoTI'!$B$2:$AA$19,MATCH(C$7,'vision EcoTI'!$B$1:$AA$1,0),FALSE)</f>
        <v>180</v>
      </c>
      <c r="D13" s="60">
        <f t="shared" si="4"/>
        <v>1.4285714285714285E-2</v>
      </c>
      <c r="E13" s="49"/>
      <c r="F13" s="2">
        <f>SUM(K13:V13)</f>
        <v>5</v>
      </c>
      <c r="G13" s="2">
        <f t="shared" si="6"/>
        <v>35.5</v>
      </c>
      <c r="H13" s="2">
        <f t="shared" si="7"/>
        <v>0</v>
      </c>
      <c r="I13" s="2">
        <f t="shared" si="3"/>
        <v>0</v>
      </c>
      <c r="J13" s="69" t="s">
        <v>14</v>
      </c>
      <c r="K13" s="76">
        <v>1</v>
      </c>
      <c r="L13" s="21"/>
      <c r="M13" s="58">
        <v>1</v>
      </c>
      <c r="N13" s="21"/>
      <c r="O13" s="21"/>
      <c r="P13" s="21"/>
      <c r="Q13" s="21"/>
      <c r="R13" s="21"/>
      <c r="S13" s="117">
        <f>2-2</f>
        <v>0</v>
      </c>
      <c r="T13" s="117">
        <f>2-1</f>
        <v>1</v>
      </c>
      <c r="U13" s="117">
        <f>2-1</f>
        <v>1</v>
      </c>
      <c r="V13" s="117">
        <f>2-1</f>
        <v>1</v>
      </c>
    </row>
    <row r="14" spans="1:34" x14ac:dyDescent="0.3">
      <c r="B14" s="59">
        <f>VLOOKUP($J14,'vision EcoTI'!$B$2:$AA$19,MATCH(B$7,'vision EcoTI'!$B$1:$AA$1,0),FALSE)</f>
        <v>7</v>
      </c>
      <c r="C14" s="59">
        <f>VLOOKUP($J14,'vision EcoTI'!$B$2:$AA$19,MATCH(C$7,'vision EcoTI'!$B$1:$AA$1,0),FALSE)</f>
        <v>20</v>
      </c>
      <c r="D14" s="60">
        <f t="shared" si="4"/>
        <v>1.4285714285714235E-2</v>
      </c>
      <c r="E14" s="49"/>
      <c r="F14" s="2">
        <f t="shared" si="5"/>
        <v>1</v>
      </c>
      <c r="G14" s="2">
        <f t="shared" si="6"/>
        <v>7.1</v>
      </c>
      <c r="H14" s="2">
        <f t="shared" si="7"/>
        <v>0</v>
      </c>
      <c r="I14" s="2">
        <f t="shared" si="3"/>
        <v>0</v>
      </c>
      <c r="J14" s="69" t="s">
        <v>13</v>
      </c>
      <c r="K14" s="65"/>
      <c r="L14" s="21"/>
      <c r="M14" s="21"/>
      <c r="N14" s="21"/>
      <c r="O14" s="21"/>
      <c r="P14" s="21"/>
      <c r="Q14" s="21"/>
      <c r="R14" s="21"/>
      <c r="S14" s="117">
        <f>1-1</f>
        <v>0</v>
      </c>
      <c r="T14" s="18"/>
      <c r="U14" s="18">
        <v>1</v>
      </c>
      <c r="V14" s="130"/>
    </row>
    <row r="15" spans="1:34" x14ac:dyDescent="0.3">
      <c r="B15" s="59">
        <f>VLOOKUP($J15,'vision EcoTI'!$B$2:$AA$19,MATCH(B$7,'vision EcoTI'!$B$1:$AA$1,0),FALSE)</f>
        <v>0</v>
      </c>
      <c r="C15" s="59">
        <f>VLOOKUP($J15,'vision EcoTI'!$B$2:$AA$19,MATCH(C$7,'vision EcoTI'!$B$1:$AA$1,0),FALSE)</f>
        <v>20</v>
      </c>
      <c r="D15" s="60" t="str">
        <f t="shared" si="4"/>
        <v/>
      </c>
      <c r="E15" s="49"/>
      <c r="F15" s="2">
        <f t="shared" si="5"/>
        <v>0</v>
      </c>
      <c r="G15" s="2">
        <f t="shared" si="6"/>
        <v>0</v>
      </c>
      <c r="H15" s="2">
        <f t="shared" si="7"/>
        <v>0</v>
      </c>
      <c r="I15" s="2">
        <f t="shared" si="3"/>
        <v>0</v>
      </c>
      <c r="J15" s="69" t="s">
        <v>12</v>
      </c>
      <c r="K15" s="65"/>
      <c r="L15" s="21"/>
      <c r="M15" s="21"/>
      <c r="N15" s="21" t="s">
        <v>54</v>
      </c>
      <c r="O15" s="21"/>
      <c r="P15" s="21"/>
      <c r="Q15" s="21"/>
      <c r="R15" s="21"/>
      <c r="S15" s="18"/>
      <c r="T15" s="18"/>
      <c r="U15" s="18"/>
      <c r="V15" s="130"/>
    </row>
    <row r="16" spans="1:34" x14ac:dyDescent="0.3">
      <c r="B16" s="59">
        <f>VLOOKUP($J16,'vision EcoTI'!$B$2:$AA$19,MATCH(B$7,'vision EcoTI'!$B$1:$AA$1,0),FALSE)</f>
        <v>21</v>
      </c>
      <c r="C16" s="59">
        <f>VLOOKUP($J16,'vision EcoTI'!$B$2:$AA$19,MATCH(C$7,'vision EcoTI'!$B$1:$AA$1,0),FALSE)</f>
        <v>50</v>
      </c>
      <c r="D16" s="60">
        <f t="shared" si="4"/>
        <v>1.428571428571415E-2</v>
      </c>
      <c r="E16" s="49"/>
      <c r="F16" s="2">
        <f t="shared" si="5"/>
        <v>3</v>
      </c>
      <c r="G16" s="2">
        <f t="shared" si="6"/>
        <v>21.299999999999997</v>
      </c>
      <c r="H16" s="2">
        <f t="shared" si="7"/>
        <v>0</v>
      </c>
      <c r="I16" s="2">
        <f t="shared" si="3"/>
        <v>0</v>
      </c>
      <c r="J16" s="69" t="s">
        <v>11</v>
      </c>
      <c r="K16" s="65"/>
      <c r="L16" s="21"/>
      <c r="M16" s="58">
        <v>1</v>
      </c>
      <c r="N16" s="21"/>
      <c r="O16" s="21"/>
      <c r="P16" s="21"/>
      <c r="Q16" s="21"/>
      <c r="R16" s="21"/>
      <c r="S16" s="18">
        <v>1</v>
      </c>
      <c r="T16" s="117">
        <f>1-1</f>
        <v>0</v>
      </c>
      <c r="U16" s="117">
        <f>1-1</f>
        <v>0</v>
      </c>
      <c r="V16" s="131">
        <v>1</v>
      </c>
    </row>
    <row r="17" spans="1:25" x14ac:dyDescent="0.3">
      <c r="B17" s="59">
        <f>VLOOKUP($J17,'vision EcoTI'!$B$2:$AA$19,MATCH(B$7,'vision EcoTI'!$B$1:$AA$1,0),FALSE)</f>
        <v>7</v>
      </c>
      <c r="C17" s="59">
        <f>VLOOKUP($J17,'vision EcoTI'!$B$2:$AA$19,MATCH(C$7,'vision EcoTI'!$B$1:$AA$1,0),FALSE)</f>
        <v>43</v>
      </c>
      <c r="D17" s="60">
        <f t="shared" si="4"/>
        <v>1.4285714285714235E-2</v>
      </c>
      <c r="E17" s="49"/>
      <c r="F17" s="2">
        <f t="shared" si="5"/>
        <v>1</v>
      </c>
      <c r="G17" s="2">
        <f t="shared" si="6"/>
        <v>7.1</v>
      </c>
      <c r="H17" s="2">
        <f t="shared" si="7"/>
        <v>0</v>
      </c>
      <c r="I17" s="2">
        <f t="shared" si="3"/>
        <v>0</v>
      </c>
      <c r="J17" s="69" t="s">
        <v>10</v>
      </c>
      <c r="K17" s="65"/>
      <c r="L17" s="21"/>
      <c r="M17" s="21"/>
      <c r="N17" s="21"/>
      <c r="O17" s="21"/>
      <c r="P17" s="21"/>
      <c r="Q17" s="21"/>
      <c r="R17" s="21"/>
      <c r="S17" s="18"/>
      <c r="T17" s="18">
        <v>1</v>
      </c>
      <c r="U17" s="18"/>
      <c r="V17" s="130"/>
    </row>
    <row r="18" spans="1:25" x14ac:dyDescent="0.3">
      <c r="B18" s="59">
        <f>VLOOKUP($J18,'vision EcoTI'!$B$2:$AA$19,MATCH(B$7,'vision EcoTI'!$B$1:$AA$1,0),FALSE)</f>
        <v>14</v>
      </c>
      <c r="C18" s="59">
        <f>VLOOKUP($J18,'vision EcoTI'!$B$2:$AA$19,MATCH(C$7,'vision EcoTI'!$B$1:$AA$1,0),FALSE)</f>
        <v>15</v>
      </c>
      <c r="D18" s="60">
        <f t="shared" si="4"/>
        <v>1.4285714285714235E-2</v>
      </c>
      <c r="E18" s="49"/>
      <c r="F18" s="2">
        <f t="shared" si="5"/>
        <v>2</v>
      </c>
      <c r="G18" s="2">
        <f t="shared" si="6"/>
        <v>14.2</v>
      </c>
      <c r="H18" s="2">
        <f t="shared" si="7"/>
        <v>0</v>
      </c>
      <c r="I18" s="2">
        <f t="shared" si="3"/>
        <v>0</v>
      </c>
      <c r="J18" s="69" t="s">
        <v>9</v>
      </c>
      <c r="K18" s="65"/>
      <c r="L18" s="21"/>
      <c r="M18" s="21"/>
      <c r="N18" s="93">
        <v>1</v>
      </c>
      <c r="O18" s="21"/>
      <c r="P18" s="21"/>
      <c r="Q18" s="21"/>
      <c r="R18" s="21"/>
      <c r="S18" s="18"/>
      <c r="T18" s="18">
        <v>1</v>
      </c>
      <c r="U18" s="18"/>
      <c r="V18" s="130"/>
    </row>
    <row r="19" spans="1:25" x14ac:dyDescent="0.3">
      <c r="B19" s="59">
        <f>VLOOKUP($J19,'vision EcoTI'!$B$2:$AA$19,MATCH(B$7,'vision EcoTI'!$B$1:$AA$1,0),FALSE)</f>
        <v>21</v>
      </c>
      <c r="C19" s="59">
        <f>VLOOKUP($J19,'vision EcoTI'!$B$2:$AA$19,MATCH(C$7,'vision EcoTI'!$B$1:$AA$1,0),FALSE)</f>
        <v>100</v>
      </c>
      <c r="D19" s="60">
        <f t="shared" si="4"/>
        <v>1.428571428571415E-2</v>
      </c>
      <c r="E19" s="49"/>
      <c r="F19" s="2">
        <f t="shared" si="5"/>
        <v>3</v>
      </c>
      <c r="G19" s="2">
        <f t="shared" si="6"/>
        <v>21.299999999999997</v>
      </c>
      <c r="H19" s="2">
        <f t="shared" si="7"/>
        <v>0</v>
      </c>
      <c r="I19" s="2">
        <f t="shared" si="3"/>
        <v>0</v>
      </c>
      <c r="J19" s="69" t="s">
        <v>8</v>
      </c>
      <c r="K19" s="76">
        <v>1</v>
      </c>
      <c r="L19" s="21"/>
      <c r="M19" s="21"/>
      <c r="N19" s="57">
        <v>2</v>
      </c>
      <c r="O19" s="21"/>
      <c r="P19" s="21"/>
      <c r="Q19" s="21"/>
      <c r="R19" s="21"/>
      <c r="S19" s="18">
        <v>0</v>
      </c>
      <c r="T19" s="18">
        <v>0</v>
      </c>
      <c r="U19" s="18"/>
      <c r="V19" s="130"/>
    </row>
    <row r="20" spans="1:25" x14ac:dyDescent="0.3">
      <c r="B20" s="59">
        <f>VLOOKUP($J20,'vision EcoTI'!$B$2:$AA$19,MATCH(B$7,'vision EcoTI'!$B$1:$AA$1,0),FALSE)</f>
        <v>21</v>
      </c>
      <c r="C20" s="59">
        <f>VLOOKUP($J20,'vision EcoTI'!$B$2:$AA$19,MATCH(C$7,'vision EcoTI'!$B$1:$AA$1,0),FALSE)</f>
        <v>90</v>
      </c>
      <c r="D20" s="60">
        <f t="shared" si="4"/>
        <v>0.35238095238095229</v>
      </c>
      <c r="E20" s="49"/>
      <c r="F20" s="2">
        <f t="shared" si="5"/>
        <v>4</v>
      </c>
      <c r="G20" s="2">
        <f t="shared" si="6"/>
        <v>28.4</v>
      </c>
      <c r="H20" s="2">
        <f t="shared" si="7"/>
        <v>0</v>
      </c>
      <c r="I20" s="2">
        <f t="shared" si="3"/>
        <v>0</v>
      </c>
      <c r="J20" s="71" t="s">
        <v>22</v>
      </c>
      <c r="K20" s="65"/>
      <c r="L20" s="57">
        <v>1</v>
      </c>
      <c r="M20" s="58">
        <v>1</v>
      </c>
      <c r="N20" s="21"/>
      <c r="O20" s="21"/>
      <c r="P20" s="57">
        <v>1</v>
      </c>
      <c r="Q20" s="21"/>
      <c r="R20" s="21"/>
      <c r="S20" s="58">
        <v>1</v>
      </c>
      <c r="T20" s="18"/>
      <c r="U20" s="18"/>
      <c r="V20" s="130"/>
    </row>
    <row r="21" spans="1:25" x14ac:dyDescent="0.3">
      <c r="B21" s="59">
        <f>VLOOKUP($J21,'vision EcoTI'!$B$2:$AA$19,MATCH(B$7,'vision EcoTI'!$B$1:$AA$1,0),FALSE)</f>
        <v>0</v>
      </c>
      <c r="C21" s="59">
        <f>VLOOKUP($J21,'vision EcoTI'!$B$2:$AA$19,MATCH(C$7,'vision EcoTI'!$B$1:$AA$1,0),FALSE)</f>
        <v>15</v>
      </c>
      <c r="D21" s="60" t="str">
        <f t="shared" si="4"/>
        <v/>
      </c>
      <c r="E21" s="49"/>
      <c r="F21" s="2">
        <f t="shared" si="5"/>
        <v>0</v>
      </c>
      <c r="G21" s="2">
        <f t="shared" si="6"/>
        <v>0</v>
      </c>
      <c r="H21" s="2">
        <f t="shared" si="7"/>
        <v>0</v>
      </c>
      <c r="I21" s="2">
        <f t="shared" si="3"/>
        <v>0</v>
      </c>
      <c r="J21" s="69" t="s">
        <v>7</v>
      </c>
      <c r="K21" s="65"/>
      <c r="L21" s="21"/>
      <c r="M21" s="21"/>
      <c r="N21" s="21"/>
      <c r="O21" s="21"/>
      <c r="P21" s="21"/>
      <c r="Q21" s="21"/>
      <c r="R21" s="21"/>
      <c r="S21" s="18"/>
      <c r="T21" s="18"/>
      <c r="U21" s="18"/>
      <c r="V21" s="130"/>
    </row>
    <row r="22" spans="1:25" x14ac:dyDescent="0.3">
      <c r="B22" s="59">
        <f>VLOOKUP($J22,'vision EcoTI'!$B$2:$AA$19,MATCH(B$7,'vision EcoTI'!$B$1:$AA$1,0),FALSE)</f>
        <v>154</v>
      </c>
      <c r="C22" s="59">
        <f>VLOOKUP($J22,'vision EcoTI'!$B$2:$AA$19,MATCH(C$7,'vision EcoTI'!$B$1:$AA$1,0),FALSE)</f>
        <v>277</v>
      </c>
      <c r="D22" s="60">
        <f t="shared" si="4"/>
        <v>1.4285714285714212E-2</v>
      </c>
      <c r="E22" s="49"/>
      <c r="F22" s="2">
        <f t="shared" si="5"/>
        <v>22</v>
      </c>
      <c r="G22" s="2">
        <f t="shared" si="6"/>
        <v>156.19999999999999</v>
      </c>
      <c r="H22" s="2">
        <f t="shared" si="7"/>
        <v>0</v>
      </c>
      <c r="I22" s="2">
        <f t="shared" si="3"/>
        <v>0</v>
      </c>
      <c r="J22" s="69" t="s">
        <v>6</v>
      </c>
      <c r="K22" s="76">
        <v>3</v>
      </c>
      <c r="L22" s="57">
        <v>5</v>
      </c>
      <c r="M22" s="58">
        <v>2</v>
      </c>
      <c r="N22" s="21"/>
      <c r="O22" s="21"/>
      <c r="P22" s="21"/>
      <c r="Q22" s="21"/>
      <c r="R22" s="21"/>
      <c r="S22" s="58">
        <v>2</v>
      </c>
      <c r="T22" s="58">
        <v>6</v>
      </c>
      <c r="U22" s="117">
        <f>3-1</f>
        <v>2</v>
      </c>
      <c r="V22" s="118">
        <f>6-4</f>
        <v>2</v>
      </c>
    </row>
    <row r="23" spans="1:25" x14ac:dyDescent="0.3">
      <c r="B23" s="59">
        <f>VLOOKUP($J23,'vision EcoTI'!$B$2:$AA$19,MATCH(B$7,'vision EcoTI'!$B$1:$AA$1,0),FALSE)</f>
        <v>0</v>
      </c>
      <c r="C23" s="59">
        <f>VLOOKUP($J23,'vision EcoTI'!$B$2:$AA$19,MATCH(C$7,'vision EcoTI'!$B$1:$AA$1,0),FALSE)</f>
        <v>30</v>
      </c>
      <c r="D23" s="60" t="str">
        <f t="shared" si="4"/>
        <v/>
      </c>
      <c r="E23" s="49"/>
      <c r="F23" s="2">
        <f t="shared" si="5"/>
        <v>0</v>
      </c>
      <c r="G23" s="2">
        <f t="shared" si="6"/>
        <v>0</v>
      </c>
      <c r="H23" s="2">
        <f t="shared" si="7"/>
        <v>0</v>
      </c>
      <c r="I23" s="2">
        <f t="shared" si="3"/>
        <v>0</v>
      </c>
      <c r="J23" s="68" t="s">
        <v>3</v>
      </c>
      <c r="K23" s="65"/>
      <c r="L23" s="21"/>
      <c r="M23" s="21"/>
      <c r="N23" s="21"/>
      <c r="O23" s="21"/>
      <c r="P23" s="21"/>
      <c r="Q23" s="21"/>
      <c r="R23" s="21"/>
      <c r="S23" s="18"/>
      <c r="T23" s="18"/>
      <c r="U23" s="18"/>
      <c r="V23" s="130"/>
    </row>
    <row r="24" spans="1:25" x14ac:dyDescent="0.3">
      <c r="B24" s="59">
        <f>VLOOKUP($J24,'vision EcoTI'!$B$2:$AA$19,MATCH(B$7,'vision EcoTI'!$B$1:$AA$1,0),FALSE)</f>
        <v>7</v>
      </c>
      <c r="C24" s="59">
        <f>VLOOKUP($J24,'vision EcoTI'!$B$2:$AA$19,MATCH(C$7,'vision EcoTI'!$B$1:$AA$1,0),FALSE)</f>
        <v>0</v>
      </c>
      <c r="D24" s="60">
        <f t="shared" si="4"/>
        <v>1.4285714285714235E-2</v>
      </c>
      <c r="E24" s="49"/>
      <c r="F24" s="2">
        <f t="shared" si="5"/>
        <v>1</v>
      </c>
      <c r="G24" s="2">
        <f t="shared" si="6"/>
        <v>7.1</v>
      </c>
      <c r="H24" s="2">
        <f t="shared" si="7"/>
        <v>0</v>
      </c>
      <c r="I24" s="2">
        <f t="shared" si="3"/>
        <v>0</v>
      </c>
      <c r="J24" s="68" t="s">
        <v>1</v>
      </c>
      <c r="K24" s="65"/>
      <c r="L24" s="21"/>
      <c r="M24" s="21"/>
      <c r="N24" s="21"/>
      <c r="O24" s="21"/>
      <c r="P24" s="21"/>
      <c r="Q24" s="21"/>
      <c r="R24" s="21"/>
      <c r="S24" s="18"/>
      <c r="T24" s="18">
        <v>1</v>
      </c>
      <c r="U24" s="18"/>
      <c r="V24" s="130"/>
    </row>
    <row r="25" spans="1:25" x14ac:dyDescent="0.3">
      <c r="B25" s="59">
        <f>VLOOKUP($J25,'vision EcoTI'!$B$2:$AA$19,MATCH(B$7,'vision EcoTI'!$B$1:$AA$1,0),FALSE)</f>
        <v>7</v>
      </c>
      <c r="C25" s="59">
        <f>VLOOKUP($J25,'vision EcoTI'!$B$2:$AA$19,MATCH(C$7,'vision EcoTI'!$B$1:$AA$1,0),FALSE)</f>
        <v>0</v>
      </c>
      <c r="D25" s="60">
        <f t="shared" si="4"/>
        <v>1.4285714285714235E-2</v>
      </c>
      <c r="E25" s="49"/>
      <c r="F25" s="2">
        <f t="shared" si="5"/>
        <v>1</v>
      </c>
      <c r="G25" s="2">
        <f t="shared" si="6"/>
        <v>7.1</v>
      </c>
      <c r="H25" s="2">
        <f t="shared" si="7"/>
        <v>1</v>
      </c>
      <c r="I25" s="2">
        <f t="shared" si="3"/>
        <v>7.1</v>
      </c>
      <c r="J25" s="72" t="s">
        <v>23</v>
      </c>
      <c r="K25" s="65"/>
      <c r="L25" s="21"/>
      <c r="M25" s="21"/>
      <c r="N25" s="21"/>
      <c r="O25" s="21"/>
      <c r="P25" s="21"/>
      <c r="Q25" s="21"/>
      <c r="R25" s="18">
        <v>1</v>
      </c>
      <c r="S25" s="18"/>
      <c r="T25" s="18"/>
      <c r="U25" s="18"/>
      <c r="V25" s="130"/>
      <c r="Y25">
        <v>1</v>
      </c>
    </row>
    <row r="26" spans="1:25" ht="15" thickBot="1" x14ac:dyDescent="0.35">
      <c r="B26" s="59">
        <f>VLOOKUP($J26,'vision EcoTI'!$B$2:$AA$19,MATCH(B$7,'vision EcoTI'!$B$1:$AA$1,0),FALSE)</f>
        <v>7</v>
      </c>
      <c r="C26" s="59">
        <f>VLOOKUP($J26,'vision EcoTI'!$B$2:$AA$19,MATCH(C$7,'vision EcoTI'!$B$1:$AA$1,0),FALSE)</f>
        <v>0</v>
      </c>
      <c r="D26" s="60">
        <f t="shared" si="4"/>
        <v>1.4285714285714235E-2</v>
      </c>
      <c r="E26" s="49"/>
      <c r="F26" s="2">
        <f t="shared" si="5"/>
        <v>1</v>
      </c>
      <c r="G26" s="2">
        <f t="shared" si="6"/>
        <v>7.1</v>
      </c>
      <c r="H26" s="2">
        <f t="shared" si="7"/>
        <v>0</v>
      </c>
      <c r="I26" s="2">
        <f t="shared" si="3"/>
        <v>0</v>
      </c>
      <c r="J26" s="73" t="s">
        <v>28</v>
      </c>
      <c r="K26" s="77"/>
      <c r="L26" s="78"/>
      <c r="M26" s="78"/>
      <c r="N26" s="78"/>
      <c r="O26" s="78"/>
      <c r="P26" s="78"/>
      <c r="Q26" s="78"/>
      <c r="R26" s="78"/>
      <c r="S26" s="132">
        <v>1</v>
      </c>
      <c r="T26" s="132"/>
      <c r="U26" s="132"/>
      <c r="V26" s="133"/>
    </row>
    <row r="27" spans="1:25" ht="15" thickBot="1" x14ac:dyDescent="0.35">
      <c r="J27" s="74" t="s">
        <v>56</v>
      </c>
      <c r="K27" s="51">
        <v>5</v>
      </c>
      <c r="L27" s="79"/>
      <c r="M27" s="79"/>
      <c r="N27" s="79">
        <f>-3-2</f>
        <v>-5</v>
      </c>
      <c r="O27" s="79"/>
      <c r="P27" s="79">
        <v>-1</v>
      </c>
      <c r="Q27" s="79"/>
      <c r="R27" s="79">
        <v>-1</v>
      </c>
      <c r="S27" s="79">
        <f>-5+1</f>
        <v>-4</v>
      </c>
      <c r="T27" s="79"/>
      <c r="U27" s="79"/>
      <c r="V27" s="80"/>
      <c r="Y27">
        <v>-1</v>
      </c>
    </row>
    <row r="28" spans="1:25" x14ac:dyDescent="0.3">
      <c r="J28" s="56" t="s">
        <v>57</v>
      </c>
      <c r="K28">
        <f>K27</f>
        <v>5</v>
      </c>
      <c r="L28">
        <f>K28+L27</f>
        <v>5</v>
      </c>
      <c r="M28" s="81">
        <v>12</v>
      </c>
      <c r="N28">
        <f>M28+N27</f>
        <v>7</v>
      </c>
      <c r="O28">
        <f t="shared" ref="O28:Q28" si="8">N28+O27</f>
        <v>7</v>
      </c>
      <c r="P28">
        <f t="shared" si="8"/>
        <v>6</v>
      </c>
      <c r="Q28">
        <f t="shared" si="8"/>
        <v>6</v>
      </c>
      <c r="R28">
        <f>Q28+R27</f>
        <v>5</v>
      </c>
      <c r="S28">
        <f>R28+S27</f>
        <v>1</v>
      </c>
      <c r="T28">
        <f t="shared" ref="T28" si="9">S28+T27</f>
        <v>1</v>
      </c>
      <c r="U28">
        <f t="shared" ref="U28" si="10">T28+U27</f>
        <v>1</v>
      </c>
      <c r="V28">
        <f t="shared" ref="V28:Y28" si="11">U28+V27</f>
        <v>1</v>
      </c>
      <c r="W28">
        <f t="shared" si="11"/>
        <v>1</v>
      </c>
      <c r="X28">
        <f t="shared" si="11"/>
        <v>1</v>
      </c>
      <c r="Y28">
        <f t="shared" si="11"/>
        <v>0</v>
      </c>
    </row>
    <row r="29" spans="1:25" x14ac:dyDescent="0.3">
      <c r="A29" s="48" t="s">
        <v>48</v>
      </c>
      <c r="B29" s="48" t="s">
        <v>48</v>
      </c>
      <c r="C29" s="48" t="s">
        <v>48</v>
      </c>
      <c r="D29" s="48"/>
      <c r="E29" s="48"/>
      <c r="F29" s="48" t="s">
        <v>48</v>
      </c>
      <c r="G29" s="48" t="s">
        <v>48</v>
      </c>
      <c r="H29" s="48" t="s">
        <v>48</v>
      </c>
      <c r="I29" s="48" t="s">
        <v>48</v>
      </c>
      <c r="J29" s="48" t="s">
        <v>48</v>
      </c>
    </row>
    <row r="30" spans="1:25" x14ac:dyDescent="0.3">
      <c r="O30" s="76" t="s">
        <v>70</v>
      </c>
      <c r="Q30" s="21"/>
      <c r="R30" s="95" t="s">
        <v>71</v>
      </c>
      <c r="S30" s="21"/>
      <c r="T30" s="95" t="s">
        <v>72</v>
      </c>
      <c r="U30" s="21"/>
      <c r="V30" s="21" t="s">
        <v>95</v>
      </c>
    </row>
    <row r="32" spans="1:25" x14ac:dyDescent="0.3">
      <c r="I32" s="94">
        <v>43920</v>
      </c>
      <c r="J32" t="s">
        <v>69</v>
      </c>
      <c r="T32" s="117"/>
      <c r="U32" t="s">
        <v>96</v>
      </c>
    </row>
    <row r="33" spans="9:10" x14ac:dyDescent="0.3">
      <c r="I33" s="94">
        <v>43941</v>
      </c>
      <c r="J33" t="s">
        <v>94</v>
      </c>
    </row>
    <row r="34" spans="9:10" x14ac:dyDescent="0.3">
      <c r="I34" s="94">
        <v>43941</v>
      </c>
      <c r="J34" t="s">
        <v>100</v>
      </c>
    </row>
    <row r="47" spans="9:10" x14ac:dyDescent="0.3"/>
  </sheetData>
  <mergeCells count="5">
    <mergeCell ref="B5:C5"/>
    <mergeCell ref="F8:G8"/>
    <mergeCell ref="H8:I8"/>
    <mergeCell ref="F5:I5"/>
    <mergeCell ref="J4:V4"/>
  </mergeCells>
  <conditionalFormatting sqref="D9:D26">
    <cfRule type="colorScale" priority="2">
      <colorScale>
        <cfvo type="num" val="-0.05"/>
        <cfvo type="num" val="0"/>
        <cfvo type="num" val="0.05"/>
        <color rgb="FFFFFF00"/>
        <color theme="0"/>
        <color theme="3" tint="0.39997558519241921"/>
      </colorScale>
    </cfRule>
  </conditionalFormatting>
  <conditionalFormatting sqref="D7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9"/>
  <sheetViews>
    <sheetView workbookViewId="0">
      <selection activeCell="E8" sqref="E8"/>
    </sheetView>
  </sheetViews>
  <sheetFormatPr baseColWidth="10" defaultRowHeight="14.4" x14ac:dyDescent="0.3"/>
  <cols>
    <col min="1" max="1" width="9.33203125" customWidth="1"/>
    <col min="2" max="2" width="34.5546875" customWidth="1"/>
    <col min="16" max="16" width="14.109375" customWidth="1"/>
  </cols>
  <sheetData>
    <row r="2" spans="2:16" x14ac:dyDescent="0.3">
      <c r="B2" s="96" t="s">
        <v>73</v>
      </c>
      <c r="P2" s="1" t="s">
        <v>74</v>
      </c>
    </row>
    <row r="4" spans="2:16" x14ac:dyDescent="0.3">
      <c r="B4" s="97" t="s">
        <v>75</v>
      </c>
      <c r="C4" s="98">
        <v>43831</v>
      </c>
      <c r="D4" s="98">
        <v>43862</v>
      </c>
      <c r="E4" s="98">
        <v>43891</v>
      </c>
      <c r="F4" s="98">
        <v>43922</v>
      </c>
      <c r="G4" s="98">
        <v>43952</v>
      </c>
      <c r="H4" s="98">
        <v>43983</v>
      </c>
      <c r="I4" s="98">
        <v>44044</v>
      </c>
      <c r="J4" s="98">
        <v>44075</v>
      </c>
      <c r="K4" s="98">
        <v>44105</v>
      </c>
      <c r="L4" s="98">
        <v>44136</v>
      </c>
      <c r="M4" s="98">
        <v>44166</v>
      </c>
      <c r="N4" s="97" t="s">
        <v>76</v>
      </c>
      <c r="P4" s="97" t="s">
        <v>77</v>
      </c>
    </row>
    <row r="5" spans="2:16" x14ac:dyDescent="0.3">
      <c r="B5" s="21" t="s">
        <v>78</v>
      </c>
      <c r="C5" s="99">
        <v>488.3</v>
      </c>
      <c r="D5" s="99">
        <v>575.70000000000005</v>
      </c>
      <c r="E5" s="99">
        <v>489</v>
      </c>
      <c r="F5" s="99">
        <v>0</v>
      </c>
      <c r="G5" s="99">
        <v>0</v>
      </c>
      <c r="H5" s="99">
        <v>0</v>
      </c>
      <c r="I5" s="99">
        <v>0</v>
      </c>
      <c r="J5" s="99">
        <v>990</v>
      </c>
      <c r="K5" s="99">
        <v>900</v>
      </c>
      <c r="L5" s="99">
        <v>900</v>
      </c>
      <c r="M5" s="99">
        <v>656.99999999999989</v>
      </c>
      <c r="N5" s="100">
        <f>SUM(C5:M5)</f>
        <v>5000</v>
      </c>
      <c r="P5" s="99">
        <v>16951.996894137686</v>
      </c>
    </row>
    <row r="6" spans="2:16" x14ac:dyDescent="0.3">
      <c r="B6" s="21" t="s">
        <v>79</v>
      </c>
      <c r="C6" s="99">
        <v>126.2</v>
      </c>
      <c r="D6" s="99">
        <v>47.2</v>
      </c>
      <c r="E6" s="99">
        <v>275</v>
      </c>
      <c r="F6" s="99">
        <v>200</v>
      </c>
      <c r="G6" s="99">
        <v>336</v>
      </c>
      <c r="H6" s="99">
        <v>0</v>
      </c>
      <c r="I6" s="99">
        <v>0</v>
      </c>
      <c r="J6" s="99">
        <v>31.5</v>
      </c>
      <c r="K6" s="99">
        <v>31.5</v>
      </c>
      <c r="L6" s="99">
        <v>31.5</v>
      </c>
      <c r="M6" s="99">
        <v>22.1</v>
      </c>
      <c r="N6" s="100">
        <f>SUM(C6:M6)</f>
        <v>1101</v>
      </c>
      <c r="P6" s="99">
        <v>625</v>
      </c>
    </row>
    <row r="7" spans="2:16" x14ac:dyDescent="0.3">
      <c r="C7" s="98">
        <v>43831</v>
      </c>
      <c r="D7" s="98">
        <v>43862</v>
      </c>
      <c r="E7" s="98">
        <v>43891</v>
      </c>
      <c r="F7" s="98">
        <v>43922</v>
      </c>
      <c r="G7" s="98">
        <v>43952</v>
      </c>
      <c r="H7" s="98">
        <v>43983</v>
      </c>
      <c r="I7" s="98">
        <v>44044</v>
      </c>
      <c r="J7" s="98">
        <v>44075</v>
      </c>
      <c r="K7" s="98">
        <v>44105</v>
      </c>
      <c r="L7" s="98">
        <v>44136</v>
      </c>
      <c r="M7" s="98">
        <v>44166</v>
      </c>
      <c r="N7" s="97" t="s">
        <v>76</v>
      </c>
      <c r="P7" s="97" t="s">
        <v>77</v>
      </c>
    </row>
    <row r="8" spans="2:16" x14ac:dyDescent="0.3">
      <c r="B8" s="21" t="s">
        <v>80</v>
      </c>
      <c r="C8" s="101">
        <v>5</v>
      </c>
      <c r="D8" s="101">
        <v>6</v>
      </c>
      <c r="E8" s="101">
        <v>5</v>
      </c>
      <c r="F8" s="101">
        <v>0</v>
      </c>
      <c r="G8" s="101">
        <v>0</v>
      </c>
      <c r="H8" s="101">
        <v>0</v>
      </c>
      <c r="I8" s="101">
        <v>0</v>
      </c>
      <c r="J8" s="101">
        <v>11</v>
      </c>
      <c r="K8" s="101">
        <v>10</v>
      </c>
      <c r="L8" s="101">
        <v>10</v>
      </c>
      <c r="M8" s="101">
        <v>9</v>
      </c>
      <c r="N8" s="102">
        <f>SUM(C8:M8)</f>
        <v>56</v>
      </c>
      <c r="P8" s="101">
        <v>188.00000000000003</v>
      </c>
    </row>
    <row r="9" spans="2:16" x14ac:dyDescent="0.3">
      <c r="B9" s="21" t="s">
        <v>81</v>
      </c>
      <c r="C9" s="101">
        <v>35.4</v>
      </c>
      <c r="D9" s="101">
        <v>43</v>
      </c>
      <c r="E9" s="101">
        <v>36.299999999999997</v>
      </c>
      <c r="F9" s="101">
        <v>0</v>
      </c>
      <c r="G9" s="101">
        <v>0</v>
      </c>
      <c r="H9" s="101">
        <v>0</v>
      </c>
      <c r="I9" s="101">
        <v>0</v>
      </c>
      <c r="J9" s="101">
        <v>79.2</v>
      </c>
      <c r="K9" s="101">
        <v>72</v>
      </c>
      <c r="L9" s="101">
        <v>72</v>
      </c>
      <c r="M9" s="101">
        <v>62.099999999999994</v>
      </c>
      <c r="N9" s="102">
        <f>SUM(C9:M9)</f>
        <v>400</v>
      </c>
      <c r="P9" s="101">
        <v>1353.6000000000001</v>
      </c>
    </row>
  </sheetData>
  <pageMargins left="0.7" right="0.7" top="0.75" bottom="0.75" header="0.3" footer="0.3"/>
  <pageSetup paperSize="9" orientation="landscape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30F30A3AFA5143BE023A152585BE02" ma:contentTypeVersion="0" ma:contentTypeDescription="Crée un document." ma:contentTypeScope="" ma:versionID="3cb3c4e7055a85f5f02c4e2dc2e1a89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4E1F3-CDE0-4B4C-BF10-EE67634C0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D31A334-6637-4DA4-A833-2ECABE27B5A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vision EcoTI</vt:lpstr>
      <vt:lpstr>vision EcoTI_sav20200323</vt:lpstr>
      <vt:lpstr>Mensualisation</vt:lpstr>
      <vt:lpstr>2020_P2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Dauzat</dc:creator>
  <cp:keywords/>
  <dc:description/>
  <cp:lastModifiedBy>PROIX Nicolas</cp:lastModifiedBy>
  <dcterms:created xsi:type="dcterms:W3CDTF">2015-06-22T12:27:09Z</dcterms:created>
  <dcterms:modified xsi:type="dcterms:W3CDTF">2020-04-20T15:34:12Z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0x010100C330F30A3AFA5143BE023A152585BE02</vt:lpwstr>
  </property>
</Properties>
</file>