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20" windowWidth="10500" windowHeight="7845" tabRatio="853" activeTab="2"/>
  </bookViews>
  <sheets>
    <sheet name="Paramètres" sheetId="2" r:id="rId1"/>
    <sheet name="Modèle" sheetId="112" r:id="rId2"/>
    <sheet name="Rond 52" sheetId="177" r:id="rId3"/>
    <sheet name="Transports" sheetId="23" r:id="rId4"/>
  </sheets>
  <definedNames>
    <definedName name="article">Paramètres!$A$27:$A$49</definedName>
    <definedName name="ctmatiere" localSheetId="1">Modèle!$E$8</definedName>
    <definedName name="ctmatiere" localSheetId="2">'Rond 52'!$E$8</definedName>
    <definedName name="ctmatiere">#REF!</definedName>
    <definedName name="eurodol">Paramètres!$B$3</definedName>
    <definedName name="facturation">Paramètres!$A$21:$A$22</definedName>
    <definedName name="kpv" localSheetId="2">#REF!</definedName>
    <definedName name="kpv">#REF!</definedName>
    <definedName name="macaj">Paramètres!$F$17</definedName>
    <definedName name="macm">Paramètres!$F$16</definedName>
    <definedName name="majoca" localSheetId="1">Modèle!$E$9</definedName>
    <definedName name="majoca" localSheetId="2">'Rond 52'!$E$9</definedName>
    <definedName name="majoca">#REF!</definedName>
    <definedName name="MPS">Paramètres!$A$20:$C$22</definedName>
    <definedName name="pdslivré" localSheetId="1">Modèle!$H$28</definedName>
    <definedName name="pdslivré" localSheetId="2">'Rond 52'!$G$30</definedName>
    <definedName name="pdslivré">#REF!</definedName>
    <definedName name="pentree">Paramètres!$A$26:$F$48</definedName>
    <definedName name="ufab">#REF!</definedName>
  </definedNames>
  <calcPr calcId="145621"/>
</workbook>
</file>

<file path=xl/calcChain.xml><?xml version="1.0" encoding="utf-8"?>
<calcChain xmlns="http://schemas.openxmlformats.org/spreadsheetml/2006/main">
  <c r="G51" i="177" l="1"/>
  <c r="F51" i="177"/>
  <c r="G50" i="177" l="1"/>
  <c r="F50" i="177"/>
  <c r="E50" i="177"/>
  <c r="G48" i="177"/>
  <c r="G47" i="177"/>
  <c r="F48" i="177"/>
  <c r="F47" i="177"/>
  <c r="E48" i="177"/>
  <c r="E47" i="177"/>
  <c r="F35" i="2" l="1"/>
  <c r="B6" i="2" s="1"/>
  <c r="C3" i="177"/>
  <c r="J30" i="177"/>
  <c r="C29" i="177"/>
  <c r="C28" i="177"/>
  <c r="C27" i="177"/>
  <c r="C26" i="177"/>
  <c r="C25" i="177"/>
  <c r="C24" i="177"/>
  <c r="F19" i="177"/>
  <c r="E19" i="177"/>
  <c r="E18" i="177"/>
  <c r="A17" i="177"/>
  <c r="E11" i="177"/>
  <c r="E10" i="177"/>
  <c r="E9" i="177"/>
  <c r="E8" i="177"/>
  <c r="I3" i="177"/>
  <c r="G3" i="177"/>
  <c r="B17" i="177" s="1"/>
  <c r="F3" i="177"/>
  <c r="D3" i="177"/>
  <c r="C17" i="177" s="1"/>
  <c r="F1" i="177"/>
  <c r="B8" i="2"/>
  <c r="E7" i="177" s="1"/>
  <c r="B7" i="2"/>
  <c r="E6" i="177" s="1"/>
  <c r="B47" i="177" s="1"/>
  <c r="E17" i="2"/>
  <c r="F17" i="2"/>
  <c r="E16" i="2"/>
  <c r="F16" i="2"/>
  <c r="F40" i="2"/>
  <c r="D40" i="2"/>
  <c r="F39" i="2"/>
  <c r="D39" i="2"/>
  <c r="E37" i="2"/>
  <c r="E38" i="2"/>
  <c r="J28" i="112"/>
  <c r="F42" i="2"/>
  <c r="D42" i="2"/>
  <c r="F38" i="2"/>
  <c r="D38" i="2"/>
  <c r="G3" i="112"/>
  <c r="B17" i="112" s="1"/>
  <c r="D3" i="112"/>
  <c r="C17" i="112" s="1"/>
  <c r="E3" i="112"/>
  <c r="L28" i="112"/>
  <c r="K28" i="112"/>
  <c r="I28" i="112"/>
  <c r="G26" i="112"/>
  <c r="G27" i="112"/>
  <c r="G28" i="112"/>
  <c r="G33" i="112"/>
  <c r="F26" i="112"/>
  <c r="F28" i="112"/>
  <c r="F27" i="112"/>
  <c r="E28" i="112"/>
  <c r="E33" i="112"/>
  <c r="D28" i="112"/>
  <c r="F1" i="112"/>
  <c r="C3" i="112"/>
  <c r="F3" i="112"/>
  <c r="I3" i="112"/>
  <c r="E10" i="112"/>
  <c r="E11" i="112"/>
  <c r="A17" i="112"/>
  <c r="D33" i="112"/>
  <c r="F30" i="2"/>
  <c r="F41" i="2"/>
  <c r="D41" i="2"/>
  <c r="F36" i="2"/>
  <c r="D36" i="2"/>
  <c r="E41" i="2"/>
  <c r="E36" i="2"/>
  <c r="F31" i="2"/>
  <c r="F37" i="2"/>
  <c r="D37" i="2"/>
  <c r="F33" i="2"/>
  <c r="F32" i="2"/>
  <c r="F27" i="2"/>
  <c r="F34" i="2"/>
  <c r="D34" i="2"/>
  <c r="F29" i="2"/>
  <c r="F28" i="2"/>
  <c r="E9" i="112"/>
  <c r="E40" i="2"/>
  <c r="E39" i="2"/>
  <c r="E42" i="2"/>
  <c r="E8" i="112"/>
  <c r="E6" i="112"/>
  <c r="B46" i="112"/>
  <c r="F21" i="177"/>
  <c r="I30" i="177"/>
  <c r="E7" i="112" l="1"/>
  <c r="B45" i="112" s="1"/>
  <c r="D38" i="112"/>
  <c r="D41" i="112"/>
  <c r="E39" i="112"/>
  <c r="E41" i="112"/>
  <c r="E38" i="112"/>
  <c r="D40" i="112"/>
  <c r="E37" i="112"/>
  <c r="D42" i="112"/>
  <c r="E40" i="112"/>
  <c r="E42" i="112"/>
  <c r="D39" i="112"/>
  <c r="D37" i="112"/>
  <c r="D39" i="177"/>
  <c r="F42" i="177"/>
  <c r="E41" i="177"/>
  <c r="E42" i="177"/>
  <c r="D41" i="177"/>
  <c r="D42" i="177"/>
  <c r="E39" i="177"/>
  <c r="F41" i="177"/>
  <c r="F39" i="177"/>
  <c r="H17" i="112"/>
  <c r="B44" i="112"/>
  <c r="C28" i="112"/>
  <c r="G17" i="177"/>
  <c r="C30" i="177"/>
  <c r="E5" i="112"/>
  <c r="B47" i="112" s="1"/>
  <c r="E5" i="177"/>
  <c r="B48" i="177" s="1"/>
  <c r="E3" i="177"/>
  <c r="B45" i="177" s="1"/>
  <c r="B48" i="112" l="1"/>
  <c r="H28" i="112"/>
  <c r="G40" i="112" s="1"/>
  <c r="C18" i="112"/>
  <c r="C18" i="177"/>
  <c r="F40" i="112"/>
  <c r="G41" i="112"/>
  <c r="F42" i="112" l="1"/>
  <c r="E35" i="112"/>
  <c r="G42" i="112"/>
  <c r="G38" i="112"/>
  <c r="D35" i="112"/>
  <c r="F38" i="112"/>
  <c r="F41" i="112"/>
  <c r="G39" i="112"/>
  <c r="F39" i="112"/>
  <c r="F37" i="112"/>
  <c r="G35" i="112"/>
  <c r="G37" i="112"/>
  <c r="G18" i="177"/>
  <c r="L18" i="177"/>
  <c r="H18" i="112"/>
  <c r="C19" i="112" s="1"/>
  <c r="E34" i="112"/>
  <c r="E36" i="112" s="1"/>
  <c r="D34" i="112"/>
  <c r="D36" i="112" s="1"/>
  <c r="G34" i="112"/>
  <c r="G36" i="112" s="1"/>
  <c r="K33" i="112"/>
  <c r="H19" i="112" l="1"/>
  <c r="C20" i="112" s="1"/>
  <c r="M19" i="112"/>
  <c r="C19" i="177"/>
  <c r="M18" i="112"/>
  <c r="M28" i="112" s="1"/>
  <c r="G19" i="177" l="1"/>
  <c r="L19" i="177"/>
  <c r="H20" i="112"/>
  <c r="C21" i="112" s="1"/>
  <c r="M20" i="112" l="1"/>
  <c r="H21" i="112"/>
  <c r="C22" i="112" s="1"/>
  <c r="M21" i="112"/>
  <c r="C20" i="177"/>
  <c r="H20" i="177" l="1"/>
  <c r="H30" i="177" s="1"/>
  <c r="B46" i="177" s="1"/>
  <c r="B49" i="177" s="1"/>
  <c r="K20" i="177"/>
  <c r="K30" i="177" s="1"/>
  <c r="H22" i="112"/>
  <c r="C23" i="112" s="1"/>
  <c r="G20" i="177" l="1"/>
  <c r="D20" i="177"/>
  <c r="C21" i="177"/>
  <c r="M22" i="112"/>
  <c r="L20" i="177"/>
  <c r="H23" i="112"/>
  <c r="C24" i="112" s="1"/>
  <c r="H24" i="112" l="1"/>
  <c r="C25" i="112" s="1"/>
  <c r="G21" i="177"/>
  <c r="G30" i="177" s="1"/>
  <c r="M23" i="112"/>
  <c r="D30" i="177"/>
  <c r="D35" i="177" s="1"/>
  <c r="E20" i="177"/>
  <c r="D40" i="177"/>
  <c r="G40" i="177" s="1"/>
  <c r="L21" i="177" l="1"/>
  <c r="D36" i="177"/>
  <c r="E30" i="177"/>
  <c r="E35" i="177" s="1"/>
  <c r="E36" i="177" s="1"/>
  <c r="F20" i="177"/>
  <c r="E40" i="177"/>
  <c r="J35" i="177"/>
  <c r="L30" i="177"/>
  <c r="G39" i="177"/>
  <c r="I41" i="177"/>
  <c r="I39" i="177"/>
  <c r="H41" i="177"/>
  <c r="G41" i="177"/>
  <c r="H42" i="177"/>
  <c r="H39" i="177"/>
  <c r="G42" i="177"/>
  <c r="I42" i="177"/>
  <c r="D37" i="177"/>
  <c r="E37" i="177"/>
  <c r="F37" i="177"/>
  <c r="H25" i="112"/>
  <c r="C26" i="112" s="1"/>
  <c r="M24" i="112"/>
  <c r="E38" i="177" l="1"/>
  <c r="M25" i="112"/>
  <c r="D38" i="177"/>
  <c r="H26" i="112"/>
  <c r="C27" i="112" s="1"/>
  <c r="H40" i="177"/>
  <c r="H43" i="177" s="1"/>
  <c r="E43" i="177"/>
  <c r="G43" i="177"/>
  <c r="F30" i="177"/>
  <c r="F35" i="177" s="1"/>
  <c r="F36" i="177" s="1"/>
  <c r="F38" i="177" s="1"/>
  <c r="F40" i="177"/>
  <c r="M26" i="112" l="1"/>
  <c r="I40" i="177"/>
  <c r="I43" i="177" s="1"/>
  <c r="F43" i="177"/>
  <c r="H27" i="112"/>
  <c r="M27" i="112" s="1"/>
</calcChain>
</file>

<file path=xl/comments1.xml><?xml version="1.0" encoding="utf-8"?>
<comments xmlns="http://schemas.openxmlformats.org/spreadsheetml/2006/main">
  <authors>
    <author>verena.bonnet</author>
  </authors>
  <commentList>
    <comment ref="M16" authorId="0">
      <text>
        <r>
          <rPr>
            <b/>
            <sz val="8"/>
            <color indexed="81"/>
            <rFont val="Tahoma"/>
            <family val="2"/>
          </rPr>
          <t>A saisir</t>
        </r>
      </text>
    </comment>
  </commentList>
</comments>
</file>

<file path=xl/sharedStrings.xml><?xml version="1.0" encoding="utf-8"?>
<sst xmlns="http://schemas.openxmlformats.org/spreadsheetml/2006/main" count="223" uniqueCount="128">
  <si>
    <t>Phase Opératoire</t>
  </si>
  <si>
    <t>Lieu</t>
  </si>
  <si>
    <t>Poids Entrée</t>
  </si>
  <si>
    <t>Poids Sortie</t>
  </si>
  <si>
    <t>Massif</t>
  </si>
  <si>
    <t>Copeaux</t>
  </si>
  <si>
    <t>Meulure</t>
  </si>
  <si>
    <t>Perte au Feu</t>
  </si>
  <si>
    <t>Bilan matière</t>
  </si>
  <si>
    <t>Commentaire</t>
  </si>
  <si>
    <t>Lingot</t>
  </si>
  <si>
    <t>UKTMP</t>
  </si>
  <si>
    <t>Parité Euro / Dollar</t>
  </si>
  <si>
    <t>UKAD</t>
  </si>
  <si>
    <t>AD</t>
  </si>
  <si>
    <t>Copeau</t>
  </si>
  <si>
    <t>Coût avec Majo</t>
  </si>
  <si>
    <t>Coûts unitaires majorés</t>
  </si>
  <si>
    <t>Total</t>
  </si>
  <si>
    <t xml:space="preserve">Valeurs chutes </t>
  </si>
  <si>
    <t>/kg</t>
  </si>
  <si>
    <t>applicable sur coût matière ou coût lingot uniquement</t>
  </si>
  <si>
    <t>Majoration peines et soins</t>
  </si>
  <si>
    <t>Rappel paramètres utilisés</t>
  </si>
  <si>
    <r>
      <t xml:space="preserve">Majoration rebut matière </t>
    </r>
    <r>
      <rPr>
        <sz val="10"/>
        <rFont val="Wingdings"/>
        <charset val="2"/>
      </rPr>
      <t></t>
    </r>
  </si>
  <si>
    <t>applicable sur coût direct et coût complet</t>
  </si>
  <si>
    <r>
      <t>Majoration rebut coûts ajoutés</t>
    </r>
    <r>
      <rPr>
        <sz val="10"/>
        <rFont val="Arial"/>
      </rPr>
      <t xml:space="preserve"> </t>
    </r>
    <r>
      <rPr>
        <sz val="10"/>
        <rFont val="Wingdings"/>
        <charset val="2"/>
      </rPr>
      <t></t>
    </r>
  </si>
  <si>
    <r>
      <t>Majoration aléas coûts ajoutés</t>
    </r>
    <r>
      <rPr>
        <sz val="10"/>
        <rFont val="Arial"/>
      </rPr>
      <t xml:space="preserve"> </t>
    </r>
    <r>
      <rPr>
        <sz val="10"/>
        <rFont val="Wingdings"/>
        <charset val="2"/>
      </rPr>
      <t></t>
    </r>
  </si>
  <si>
    <t>Synthèse :</t>
  </si>
  <si>
    <r>
      <t xml:space="preserve">Majoration aléa matière </t>
    </r>
    <r>
      <rPr>
        <sz val="10"/>
        <rFont val="Wingdings"/>
        <charset val="2"/>
      </rPr>
      <t></t>
    </r>
  </si>
  <si>
    <r>
      <t xml:space="preserve">Majoration aléa CA </t>
    </r>
    <r>
      <rPr>
        <sz val="10"/>
        <rFont val="Wingdings"/>
        <charset val="2"/>
      </rPr>
      <t></t>
    </r>
    <r>
      <rPr>
        <sz val="10"/>
        <rFont val="Arial"/>
      </rPr>
      <t xml:space="preserve"> et </t>
    </r>
    <r>
      <rPr>
        <sz val="10"/>
        <rFont val="Wingdings"/>
        <charset val="2"/>
      </rPr>
      <t></t>
    </r>
  </si>
  <si>
    <t>Coût matière</t>
  </si>
  <si>
    <t>poids</t>
  </si>
  <si>
    <t>prix €/kg</t>
  </si>
  <si>
    <t>prix $/kg</t>
  </si>
  <si>
    <t>Article lingot ou DP</t>
  </si>
  <si>
    <t>Poids</t>
  </si>
  <si>
    <t>LI-UKT-7400-VV</t>
  </si>
  <si>
    <t>LI-TIF-2800-SVV</t>
  </si>
  <si>
    <t>LI-TIF-3000-SVV</t>
  </si>
  <si>
    <t>Coefficient aléa matière</t>
  </si>
  <si>
    <t>Coefficient aléa coût ajouté</t>
  </si>
  <si>
    <t>Coût matière majoré</t>
  </si>
  <si>
    <t>FACTURATION</t>
  </si>
  <si>
    <t>SYNTHESE COUT MATIERE</t>
  </si>
  <si>
    <t>Majoration Peines et Soins</t>
  </si>
  <si>
    <t>Coût Ajouté
Direct</t>
  </si>
  <si>
    <t>Coût Ajouté
Complet</t>
  </si>
  <si>
    <t>Total majoré €/kg</t>
  </si>
  <si>
    <t xml:space="preserve">Produit de départ : </t>
  </si>
  <si>
    <t>SYNTHESE COUT AVEC MAJORATIONS ALEAS</t>
  </si>
  <si>
    <t>Forme</t>
  </si>
  <si>
    <t>forme</t>
  </si>
  <si>
    <t>RD-UKAD-101-Ec</t>
  </si>
  <si>
    <t>RCS-UKAD-229-M</t>
  </si>
  <si>
    <t>Lingot 850 mm</t>
  </si>
  <si>
    <t>Source</t>
  </si>
  <si>
    <t>TIFAST</t>
  </si>
  <si>
    <t>Coeff</t>
  </si>
  <si>
    <t>Prod UKAD</t>
  </si>
  <si>
    <t>Prod # UKAD</t>
  </si>
  <si>
    <t>Production</t>
  </si>
  <si>
    <t>Branche Alliages</t>
  </si>
  <si>
    <t>Taux peines et soins UKAD</t>
  </si>
  <si>
    <t>Taux peines et soins Branche Alliages</t>
  </si>
  <si>
    <t>Mise au mille</t>
  </si>
  <si>
    <t>Coût Ajouté Complet Majoré</t>
  </si>
  <si>
    <t>Source Nadia Desortiaux, le 23/7/2010</t>
  </si>
  <si>
    <t>Lingot ou demi-produit</t>
  </si>
  <si>
    <t>RD-UKAD-118-Ec</t>
  </si>
  <si>
    <t>RCS-UKAD-240-M</t>
  </si>
  <si>
    <t>RCS-UKAD-370-M</t>
  </si>
  <si>
    <t>Rond 101x 5,9m</t>
  </si>
  <si>
    <t>RCS 229 x 5,2m</t>
  </si>
  <si>
    <t>RCS 240 x 4m</t>
  </si>
  <si>
    <t>RCS 370 x 1,55 m</t>
  </si>
  <si>
    <t>Rond 118 x 4,25 m</t>
  </si>
  <si>
    <t>Autres</t>
  </si>
  <si>
    <t>Laminage, recuit, dressage, écroutage, US et prélèvement</t>
  </si>
  <si>
    <t>RCS 270 x xm</t>
  </si>
  <si>
    <t>LI-UKT-7300-VV</t>
  </si>
  <si>
    <t>Prix €/kg</t>
  </si>
  <si>
    <t>Valeur chutes par rapport au lingot</t>
  </si>
  <si>
    <t>Ebauchage CAA 270/330, meulé contrôlé</t>
  </si>
  <si>
    <t>RCS-UKAD-270-SP</t>
  </si>
  <si>
    <t>RCS-UKAD-370-SP</t>
  </si>
  <si>
    <t>RCS-UKAD-270-SA</t>
  </si>
  <si>
    <t>RCS-UKAD-370-SA</t>
  </si>
  <si>
    <t>RCS-UKAD-240-SA</t>
  </si>
  <si>
    <t>RD-ANC-101-Ec</t>
  </si>
  <si>
    <t>RCS 370 x xm</t>
  </si>
  <si>
    <t>RCS 240 x xm</t>
  </si>
  <si>
    <t>CY</t>
  </si>
  <si>
    <t>Coût essais (RU+5%) - prestations</t>
  </si>
  <si>
    <t>1-</t>
  </si>
  <si>
    <t>2-</t>
  </si>
  <si>
    <t>3-</t>
  </si>
  <si>
    <t>4-</t>
  </si>
  <si>
    <t>5-</t>
  </si>
  <si>
    <t>Ajout coût d'essai H2</t>
  </si>
  <si>
    <t>Plan d'actions</t>
  </si>
  <si>
    <t>N°</t>
  </si>
  <si>
    <t>Actions</t>
  </si>
  <si>
    <t>6-</t>
  </si>
  <si>
    <t>LH</t>
  </si>
  <si>
    <t>BE</t>
  </si>
  <si>
    <t>RD 101 x xm</t>
  </si>
  <si>
    <t>RCS-UKAD-240-SP</t>
  </si>
  <si>
    <t>7-</t>
  </si>
  <si>
    <t>Coût essais</t>
  </si>
  <si>
    <t>Coût Ajouté
Direct
UKAD + Branche</t>
  </si>
  <si>
    <t>Coût Ajouté
Direct
UKAD</t>
  </si>
  <si>
    <t>Coût Ajouté
Complet
UKAD</t>
  </si>
  <si>
    <t>PRESTA</t>
  </si>
  <si>
    <t>$/kg</t>
  </si>
  <si>
    <t>Données mises à jour Juillet 2012</t>
  </si>
  <si>
    <t>Selon devis YLC du 21/12/12</t>
  </si>
  <si>
    <t>Lingot 910 mm</t>
  </si>
  <si>
    <t>Selon devis PJT du 02/09/2013</t>
  </si>
  <si>
    <t>Gamme UKAD : Gamme optimisation corroyage phase 1, 2 et 3, avec etirage final 3,85
Rendement DP : 12 carrés x 539 Kg ( Mam Cible à 6636)
Lotissement AD : 4 carrés 270</t>
  </si>
  <si>
    <t>Selon mail YLC du 17122013</t>
  </si>
  <si>
    <t>Création 03/06/2014</t>
  </si>
  <si>
    <t>PV Formule 1</t>
  </si>
  <si>
    <t>Moyenne 2014 T1</t>
  </si>
  <si>
    <t>PV Formule 2</t>
  </si>
  <si>
    <t>MCO €/kg</t>
  </si>
  <si>
    <t>PV Formule 3 FGrehal</t>
  </si>
  <si>
    <t>Prix proposé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</si>
</sst>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"/>
    <numFmt numFmtId="165" formatCode="#,##0.000\ &quot;€&quot;"/>
    <numFmt numFmtId="166" formatCode="#,##0.00\ &quot;€&quot;"/>
    <numFmt numFmtId="167" formatCode="#,##0.00_ ;\-#,##0.00\ "/>
    <numFmt numFmtId="168" formatCode="#,##0_ ;\-#,##0\ "/>
    <numFmt numFmtId="169" formatCode="#,##0.00\ _€"/>
    <numFmt numFmtId="170" formatCode="0.000&quot; €/kg&quot;"/>
  </numFmts>
  <fonts count="19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Wingdings"/>
      <charset val="2"/>
    </font>
    <font>
      <b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b/>
      <sz val="10"/>
      <color indexed="9"/>
      <name val="Arial"/>
      <family val="2"/>
    </font>
    <font>
      <b/>
      <u/>
      <sz val="10"/>
      <color indexed="9"/>
      <name val="Arial"/>
      <family val="2"/>
    </font>
    <font>
      <sz val="10"/>
      <color indexed="9"/>
      <name val="Arial"/>
      <family val="2"/>
    </font>
    <font>
      <i/>
      <sz val="10"/>
      <color indexed="9"/>
      <name val="Arial"/>
      <family val="2"/>
    </font>
    <font>
      <b/>
      <sz val="8"/>
      <color indexed="81"/>
      <name val="Tahoma"/>
      <family val="2"/>
    </font>
    <font>
      <b/>
      <u/>
      <sz val="14"/>
      <name val="Arial"/>
      <family val="2"/>
    </font>
    <font>
      <b/>
      <sz val="12"/>
      <color indexed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wrapText="1"/>
    </xf>
    <xf numFmtId="44" fontId="0" fillId="0" borderId="0" xfId="0" applyNumberFormat="1"/>
    <xf numFmtId="165" fontId="0" fillId="0" borderId="0" xfId="0" applyNumberForma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166" fontId="0" fillId="0" borderId="0" xfId="0" applyNumberFormat="1"/>
    <xf numFmtId="0" fontId="0" fillId="0" borderId="0" xfId="0" applyNumberFormat="1"/>
    <xf numFmtId="166" fontId="7" fillId="0" borderId="0" xfId="0" applyNumberFormat="1" applyFont="1"/>
    <xf numFmtId="2" fontId="0" fillId="0" borderId="0" xfId="0" applyNumberFormat="1"/>
    <xf numFmtId="0" fontId="0" fillId="0" borderId="0" xfId="0" applyAlignment="1">
      <alignment horizontal="center"/>
    </xf>
    <xf numFmtId="167" fontId="0" fillId="0" borderId="0" xfId="0" applyNumberFormat="1"/>
    <xf numFmtId="168" fontId="0" fillId="0" borderId="0" xfId="0" applyNumberFormat="1"/>
    <xf numFmtId="0" fontId="6" fillId="0" borderId="0" xfId="0" applyFont="1" applyBorder="1" applyAlignment="1">
      <alignment wrapText="1"/>
    </xf>
    <xf numFmtId="0" fontId="6" fillId="0" borderId="0" xfId="0" applyFont="1" applyBorder="1"/>
    <xf numFmtId="167" fontId="6" fillId="0" borderId="0" xfId="0" applyNumberFormat="1" applyFont="1" applyBorder="1"/>
    <xf numFmtId="168" fontId="6" fillId="0" borderId="0" xfId="0" applyNumberFormat="1" applyFont="1" applyBorder="1"/>
    <xf numFmtId="0" fontId="6" fillId="0" borderId="0" xfId="0" applyNumberFormat="1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2" fontId="0" fillId="0" borderId="5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0" xfId="0" applyFill="1"/>
    <xf numFmtId="9" fontId="0" fillId="2" borderId="0" xfId="0" applyNumberFormat="1" applyFill="1" applyAlignment="1">
      <alignment horizontal="right"/>
    </xf>
    <xf numFmtId="9" fontId="0" fillId="3" borderId="0" xfId="0" applyNumberFormat="1" applyFill="1" applyAlignment="1">
      <alignment horizontal="left"/>
    </xf>
    <xf numFmtId="43" fontId="0" fillId="3" borderId="0" xfId="3" applyFont="1" applyFill="1"/>
    <xf numFmtId="0" fontId="0" fillId="0" borderId="0" xfId="4" applyNumberFormat="1" applyFont="1"/>
    <xf numFmtId="0" fontId="8" fillId="0" borderId="0" xfId="0" applyFont="1" applyAlignment="1">
      <alignment horizontal="center"/>
    </xf>
    <xf numFmtId="0" fontId="8" fillId="0" borderId="0" xfId="0" applyFont="1"/>
    <xf numFmtId="2" fontId="1" fillId="0" borderId="9" xfId="0" applyNumberFormat="1" applyFont="1" applyFill="1" applyBorder="1"/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" fillId="5" borderId="12" xfId="0" applyFont="1" applyFill="1" applyBorder="1"/>
    <xf numFmtId="2" fontId="1" fillId="5" borderId="13" xfId="0" applyNumberFormat="1" applyFont="1" applyFill="1" applyBorder="1"/>
    <xf numFmtId="0" fontId="1" fillId="5" borderId="13" xfId="0" applyFont="1" applyFill="1" applyBorder="1"/>
    <xf numFmtId="2" fontId="1" fillId="5" borderId="14" xfId="0" applyNumberFormat="1" applyFont="1" applyFill="1" applyBorder="1"/>
    <xf numFmtId="0" fontId="1" fillId="5" borderId="15" xfId="0" applyFont="1" applyFill="1" applyBorder="1"/>
    <xf numFmtId="0" fontId="1" fillId="5" borderId="16" xfId="0" applyFont="1" applyFill="1" applyBorder="1"/>
    <xf numFmtId="2" fontId="1" fillId="5" borderId="16" xfId="0" applyNumberFormat="1" applyFont="1" applyFill="1" applyBorder="1"/>
    <xf numFmtId="2" fontId="1" fillId="5" borderId="17" xfId="0" applyNumberFormat="1" applyFont="1" applyFill="1" applyBorder="1"/>
    <xf numFmtId="2" fontId="1" fillId="0" borderId="18" xfId="0" applyNumberFormat="1" applyFont="1" applyFill="1" applyBorder="1"/>
    <xf numFmtId="0" fontId="1" fillId="0" borderId="19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2" fontId="1" fillId="0" borderId="16" xfId="0" applyNumberFormat="1" applyFont="1" applyFill="1" applyBorder="1"/>
    <xf numFmtId="0" fontId="1" fillId="0" borderId="9" xfId="0" applyFont="1" applyFill="1" applyBorder="1" applyProtection="1">
      <protection locked="0"/>
    </xf>
    <xf numFmtId="4" fontId="1" fillId="5" borderId="14" xfId="0" applyNumberFormat="1" applyFont="1" applyFill="1" applyBorder="1"/>
    <xf numFmtId="4" fontId="1" fillId="0" borderId="18" xfId="0" applyNumberFormat="1" applyFont="1" applyFill="1" applyBorder="1"/>
    <xf numFmtId="4" fontId="1" fillId="5" borderId="18" xfId="0" applyNumberFormat="1" applyFont="1" applyFill="1" applyBorder="1"/>
    <xf numFmtId="4" fontId="1" fillId="0" borderId="17" xfId="0" applyNumberFormat="1" applyFont="1" applyFill="1" applyBorder="1"/>
    <xf numFmtId="169" fontId="1" fillId="0" borderId="9" xfId="0" applyNumberFormat="1" applyFont="1" applyFill="1" applyBorder="1" applyProtection="1">
      <protection locked="0"/>
    </xf>
    <xf numFmtId="169" fontId="1" fillId="0" borderId="9" xfId="0" applyNumberFormat="1" applyFont="1" applyFill="1" applyBorder="1"/>
    <xf numFmtId="169" fontId="1" fillId="5" borderId="16" xfId="1" applyNumberFormat="1" applyFont="1" applyFill="1" applyBorder="1"/>
    <xf numFmtId="169" fontId="1" fillId="0" borderId="16" xfId="1" applyNumberFormat="1" applyFont="1" applyFill="1" applyBorder="1"/>
    <xf numFmtId="0" fontId="6" fillId="0" borderId="20" xfId="0" applyFont="1" applyFill="1" applyBorder="1"/>
    <xf numFmtId="0" fontId="6" fillId="0" borderId="21" xfId="0" applyFont="1" applyFill="1" applyBorder="1"/>
    <xf numFmtId="166" fontId="6" fillId="0" borderId="21" xfId="0" applyNumberFormat="1" applyFont="1" applyFill="1" applyBorder="1"/>
    <xf numFmtId="166" fontId="6" fillId="0" borderId="22" xfId="0" applyNumberFormat="1" applyFont="1" applyFill="1" applyBorder="1"/>
    <xf numFmtId="0" fontId="6" fillId="0" borderId="20" xfId="0" applyFont="1" applyFill="1" applyBorder="1" applyAlignment="1">
      <alignment wrapText="1"/>
    </xf>
    <xf numFmtId="167" fontId="6" fillId="0" borderId="21" xfId="0" applyNumberFormat="1" applyFont="1" applyFill="1" applyBorder="1"/>
    <xf numFmtId="168" fontId="6" fillId="0" borderId="21" xfId="0" applyNumberFormat="1" applyFont="1" applyFill="1" applyBorder="1"/>
    <xf numFmtId="0" fontId="1" fillId="6" borderId="15" xfId="0" applyFont="1" applyFill="1" applyBorder="1" applyAlignment="1" applyProtection="1">
      <alignment wrapText="1"/>
      <protection locked="0"/>
    </xf>
    <xf numFmtId="0" fontId="1" fillId="6" borderId="19" xfId="0" applyFont="1" applyFill="1" applyBorder="1" applyProtection="1">
      <protection locked="0"/>
    </xf>
    <xf numFmtId="169" fontId="1" fillId="6" borderId="16" xfId="1" applyNumberFormat="1" applyFont="1" applyFill="1" applyBorder="1" applyProtection="1">
      <protection locked="0"/>
    </xf>
    <xf numFmtId="0" fontId="1" fillId="6" borderId="16" xfId="0" applyFont="1" applyFill="1" applyBorder="1" applyProtection="1">
      <protection locked="0"/>
    </xf>
    <xf numFmtId="169" fontId="1" fillId="6" borderId="16" xfId="0" applyNumberFormat="1" applyFont="1" applyFill="1" applyBorder="1" applyProtection="1">
      <protection locked="0"/>
    </xf>
    <xf numFmtId="0" fontId="1" fillId="7" borderId="23" xfId="0" applyFont="1" applyFill="1" applyBorder="1" applyAlignment="1" applyProtection="1">
      <alignment wrapText="1"/>
      <protection locked="0"/>
    </xf>
    <xf numFmtId="0" fontId="1" fillId="7" borderId="15" xfId="0" applyFont="1" applyFill="1" applyBorder="1" applyAlignment="1" applyProtection="1">
      <alignment wrapText="1"/>
      <protection locked="0"/>
    </xf>
    <xf numFmtId="0" fontId="1" fillId="7" borderId="19" xfId="0" applyFont="1" applyFill="1" applyBorder="1" applyProtection="1">
      <protection locked="0"/>
    </xf>
    <xf numFmtId="0" fontId="1" fillId="7" borderId="24" xfId="0" applyFont="1" applyFill="1" applyBorder="1" applyAlignment="1" applyProtection="1">
      <alignment wrapText="1"/>
      <protection locked="0"/>
    </xf>
    <xf numFmtId="169" fontId="1" fillId="7" borderId="16" xfId="1" applyNumberFormat="1" applyFont="1" applyFill="1" applyBorder="1" applyProtection="1">
      <protection locked="0"/>
    </xf>
    <xf numFmtId="169" fontId="1" fillId="7" borderId="16" xfId="0" applyNumberFormat="1" applyFont="1" applyFill="1" applyBorder="1" applyProtection="1">
      <protection locked="0"/>
    </xf>
    <xf numFmtId="0" fontId="1" fillId="7" borderId="16" xfId="0" applyFont="1" applyFill="1" applyBorder="1" applyProtection="1">
      <protection locked="0"/>
    </xf>
    <xf numFmtId="0" fontId="1" fillId="7" borderId="25" xfId="0" applyFont="1" applyFill="1" applyBorder="1" applyProtection="1">
      <protection locked="0"/>
    </xf>
    <xf numFmtId="0" fontId="10" fillId="8" borderId="1" xfId="0" applyFont="1" applyFill="1" applyBorder="1"/>
    <xf numFmtId="0" fontId="11" fillId="8" borderId="2" xfId="0" applyFont="1" applyFill="1" applyBorder="1"/>
    <xf numFmtId="0" fontId="11" fillId="8" borderId="3" xfId="0" applyFont="1" applyFill="1" applyBorder="1"/>
    <xf numFmtId="0" fontId="11" fillId="8" borderId="4" xfId="0" applyFont="1" applyFill="1" applyBorder="1"/>
    <xf numFmtId="0" fontId="11" fillId="8" borderId="0" xfId="0" applyFont="1" applyFill="1" applyBorder="1"/>
    <xf numFmtId="0" fontId="9" fillId="8" borderId="0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/>
    </xf>
    <xf numFmtId="0" fontId="11" fillId="8" borderId="4" xfId="0" applyFont="1" applyFill="1" applyBorder="1" applyAlignment="1">
      <alignment horizontal="right"/>
    </xf>
    <xf numFmtId="2" fontId="11" fillId="8" borderId="0" xfId="0" applyNumberFormat="1" applyFont="1" applyFill="1" applyBorder="1"/>
    <xf numFmtId="2" fontId="11" fillId="8" borderId="5" xfId="0" applyNumberFormat="1" applyFont="1" applyFill="1" applyBorder="1"/>
    <xf numFmtId="0" fontId="12" fillId="8" borderId="4" xfId="0" applyFont="1" applyFill="1" applyBorder="1" applyAlignment="1">
      <alignment horizontal="left"/>
    </xf>
    <xf numFmtId="0" fontId="11" fillId="8" borderId="5" xfId="0" applyFont="1" applyFill="1" applyBorder="1"/>
    <xf numFmtId="0" fontId="11" fillId="8" borderId="4" xfId="0" applyFont="1" applyFill="1" applyBorder="1" applyAlignment="1">
      <alignment horizontal="left"/>
    </xf>
    <xf numFmtId="165" fontId="11" fillId="8" borderId="0" xfId="0" applyNumberFormat="1" applyFont="1" applyFill="1" applyBorder="1"/>
    <xf numFmtId="9" fontId="11" fillId="8" borderId="0" xfId="0" applyNumberFormat="1" applyFont="1" applyFill="1" applyBorder="1"/>
    <xf numFmtId="0" fontId="11" fillId="8" borderId="6" xfId="0" applyFont="1" applyFill="1" applyBorder="1" applyAlignment="1">
      <alignment horizontal="left"/>
    </xf>
    <xf numFmtId="0" fontId="11" fillId="8" borderId="7" xfId="0" applyFont="1" applyFill="1" applyBorder="1"/>
    <xf numFmtId="9" fontId="11" fillId="8" borderId="7" xfId="0" applyNumberFormat="1" applyFont="1" applyFill="1" applyBorder="1"/>
    <xf numFmtId="0" fontId="11" fillId="8" borderId="8" xfId="0" applyFont="1" applyFill="1" applyBorder="1"/>
    <xf numFmtId="0" fontId="1" fillId="6" borderId="0" xfId="0" applyFont="1" applyFill="1" applyProtection="1">
      <protection locked="0"/>
    </xf>
    <xf numFmtId="0" fontId="11" fillId="6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2" fontId="0" fillId="0" borderId="0" xfId="0" applyNumberFormat="1" applyBorder="1"/>
    <xf numFmtId="2" fontId="1" fillId="5" borderId="26" xfId="0" applyNumberFormat="1" applyFont="1" applyFill="1" applyBorder="1" applyProtection="1">
      <protection locked="0"/>
    </xf>
    <xf numFmtId="2" fontId="1" fillId="0" borderId="26" xfId="0" applyNumberFormat="1" applyFont="1" applyFill="1" applyBorder="1" applyProtection="1">
      <protection locked="0"/>
    </xf>
    <xf numFmtId="0" fontId="1" fillId="7" borderId="16" xfId="0" applyFont="1" applyFill="1" applyBorder="1" applyAlignment="1" applyProtection="1">
      <alignment horizontal="center"/>
      <protection locked="0"/>
    </xf>
    <xf numFmtId="1" fontId="1" fillId="0" borderId="16" xfId="0" applyNumberFormat="1" applyFont="1" applyFill="1" applyBorder="1"/>
    <xf numFmtId="0" fontId="15" fillId="0" borderId="0" xfId="0" applyFont="1"/>
    <xf numFmtId="165" fontId="0" fillId="0" borderId="0" xfId="0" applyNumberFormat="1" applyFill="1" applyAlignment="1">
      <alignment horizontal="right"/>
    </xf>
    <xf numFmtId="1" fontId="3" fillId="5" borderId="27" xfId="0" applyNumberFormat="1" applyFont="1" applyFill="1" applyBorder="1"/>
    <xf numFmtId="0" fontId="0" fillId="6" borderId="4" xfId="0" applyFill="1" applyBorder="1"/>
    <xf numFmtId="0" fontId="0" fillId="6" borderId="0" xfId="0" applyFill="1" applyBorder="1" applyAlignment="1">
      <alignment horizontal="left"/>
    </xf>
    <xf numFmtId="2" fontId="0" fillId="6" borderId="0" xfId="0" applyNumberFormat="1" applyFill="1" applyBorder="1"/>
    <xf numFmtId="0" fontId="0" fillId="6" borderId="0" xfId="0" applyFill="1" applyBorder="1"/>
    <xf numFmtId="2" fontId="0" fillId="6" borderId="5" xfId="0" applyNumberFormat="1" applyFill="1" applyBorder="1"/>
    <xf numFmtId="0" fontId="0" fillId="6" borderId="4" xfId="0" applyFill="1" applyBorder="1" applyAlignment="1">
      <alignment horizontal="left"/>
    </xf>
    <xf numFmtId="0" fontId="0" fillId="0" borderId="4" xfId="0" applyFill="1" applyBorder="1"/>
    <xf numFmtId="2" fontId="0" fillId="0" borderId="0" xfId="0" applyNumberFormat="1" applyFill="1" applyBorder="1"/>
    <xf numFmtId="2" fontId="0" fillId="0" borderId="5" xfId="0" applyNumberFormat="1" applyFill="1" applyBorder="1"/>
    <xf numFmtId="164" fontId="1" fillId="0" borderId="16" xfId="0" applyNumberFormat="1" applyFont="1" applyFill="1" applyBorder="1"/>
    <xf numFmtId="166" fontId="7" fillId="9" borderId="0" xfId="0" applyNumberFormat="1" applyFont="1" applyFill="1" applyBorder="1"/>
    <xf numFmtId="170" fontId="7" fillId="9" borderId="0" xfId="0" applyNumberFormat="1" applyFont="1" applyFill="1" applyBorder="1"/>
    <xf numFmtId="0" fontId="3" fillId="9" borderId="0" xfId="0" applyFont="1" applyFill="1"/>
    <xf numFmtId="166" fontId="3" fillId="9" borderId="0" xfId="0" applyNumberFormat="1" applyFont="1" applyFill="1"/>
    <xf numFmtId="170" fontId="3" fillId="9" borderId="0" xfId="0" applyNumberFormat="1" applyFont="1" applyFill="1"/>
    <xf numFmtId="0" fontId="0" fillId="0" borderId="28" xfId="0" applyBorder="1"/>
    <xf numFmtId="0" fontId="6" fillId="0" borderId="0" xfId="0" applyFont="1" applyFill="1" applyBorder="1"/>
    <xf numFmtId="0" fontId="16" fillId="9" borderId="0" xfId="0" applyFont="1" applyFill="1" applyBorder="1"/>
    <xf numFmtId="0" fontId="16" fillId="9" borderId="0" xfId="0" applyFont="1" applyFill="1"/>
    <xf numFmtId="0" fontId="17" fillId="9" borderId="0" xfId="0" applyFont="1" applyFill="1" applyBorder="1"/>
    <xf numFmtId="0" fontId="7" fillId="0" borderId="0" xfId="0" applyFont="1" applyAlignment="1">
      <alignment horizontal="right"/>
    </xf>
    <xf numFmtId="0" fontId="9" fillId="4" borderId="29" xfId="0" applyFont="1" applyFill="1" applyBorder="1" applyAlignment="1">
      <alignment horizontal="center" vertical="center" wrapText="1"/>
    </xf>
    <xf numFmtId="2" fontId="1" fillId="0" borderId="9" xfId="0" applyNumberFormat="1" applyFont="1" applyFill="1" applyBorder="1" applyProtection="1">
      <protection locked="0"/>
    </xf>
    <xf numFmtId="0" fontId="1" fillId="0" borderId="30" xfId="0" applyNumberFormat="1" applyFont="1" applyFill="1" applyBorder="1" applyAlignment="1" applyProtection="1">
      <alignment wrapText="1"/>
      <protection locked="0"/>
    </xf>
    <xf numFmtId="2" fontId="1" fillId="5" borderId="16" xfId="0" applyNumberFormat="1" applyFont="1" applyFill="1" applyBorder="1" applyProtection="1">
      <protection locked="0"/>
    </xf>
    <xf numFmtId="0" fontId="1" fillId="5" borderId="18" xfId="0" applyNumberFormat="1" applyFont="1" applyFill="1" applyBorder="1" applyAlignment="1" applyProtection="1">
      <alignment wrapText="1"/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18" xfId="0" applyNumberFormat="1" applyFont="1" applyFill="1" applyBorder="1" applyAlignment="1" applyProtection="1">
      <alignment wrapText="1"/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1" fillId="0" borderId="17" xfId="0" applyNumberFormat="1" applyFont="1" applyFill="1" applyBorder="1" applyAlignment="1" applyProtection="1">
      <alignment wrapText="1"/>
      <protection locked="0"/>
    </xf>
    <xf numFmtId="0" fontId="6" fillId="0" borderId="22" xfId="0" applyFont="1" applyFill="1" applyBorder="1"/>
    <xf numFmtId="1" fontId="0" fillId="5" borderId="27" xfId="0" applyNumberFormat="1" applyFill="1" applyBorder="1"/>
    <xf numFmtId="164" fontId="6" fillId="0" borderId="0" xfId="0" applyNumberFormat="1" applyFont="1" applyBorder="1"/>
    <xf numFmtId="2" fontId="1" fillId="5" borderId="26" xfId="0" applyNumberFormat="1" applyFont="1" applyFill="1" applyBorder="1" applyAlignment="1">
      <alignment wrapText="1"/>
    </xf>
    <xf numFmtId="2" fontId="1" fillId="0" borderId="23" xfId="0" applyNumberFormat="1" applyFont="1" applyFill="1" applyBorder="1" applyAlignment="1" applyProtection="1">
      <alignment wrapText="1"/>
      <protection locked="0"/>
    </xf>
    <xf numFmtId="2" fontId="1" fillId="0" borderId="31" xfId="0" applyNumberFormat="1" applyFont="1" applyFill="1" applyBorder="1" applyProtection="1">
      <protection locked="0"/>
    </xf>
    <xf numFmtId="169" fontId="1" fillId="6" borderId="16" xfId="1" applyNumberFormat="1" applyFont="1" applyFill="1" applyBorder="1" applyAlignment="1" applyProtection="1">
      <alignment horizontal="center"/>
      <protection locked="0"/>
    </xf>
    <xf numFmtId="0" fontId="1" fillId="6" borderId="19" xfId="0" applyFont="1" applyFill="1" applyBorder="1" applyAlignment="1" applyProtection="1">
      <alignment horizontal="center"/>
      <protection locked="0"/>
    </xf>
    <xf numFmtId="0" fontId="1" fillId="5" borderId="16" xfId="0" applyFont="1" applyFill="1" applyBorder="1" applyAlignment="1">
      <alignment horizontal="center"/>
    </xf>
    <xf numFmtId="0" fontId="1" fillId="6" borderId="16" xfId="0" applyFont="1" applyFill="1" applyBorder="1" applyAlignment="1" applyProtection="1">
      <alignment horizontal="center"/>
      <protection locked="0"/>
    </xf>
    <xf numFmtId="2" fontId="1" fillId="5" borderId="26" xfId="0" applyNumberFormat="1" applyFont="1" applyFill="1" applyBorder="1" applyAlignment="1" applyProtection="1">
      <alignment horizontal="center"/>
      <protection locked="0"/>
    </xf>
    <xf numFmtId="0" fontId="1" fillId="7" borderId="19" xfId="0" applyFont="1" applyFill="1" applyBorder="1" applyAlignment="1" applyProtection="1">
      <alignment horizontal="center"/>
      <protection locked="0"/>
    </xf>
    <xf numFmtId="1" fontId="1" fillId="0" borderId="16" xfId="0" applyNumberFormat="1" applyFont="1" applyFill="1" applyBorder="1" applyAlignment="1">
      <alignment horizontal="center"/>
    </xf>
    <xf numFmtId="169" fontId="1" fillId="7" borderId="16" xfId="0" applyNumberFormat="1" applyFont="1" applyFill="1" applyBorder="1" applyAlignment="1" applyProtection="1">
      <alignment horizontal="center"/>
      <protection locked="0"/>
    </xf>
    <xf numFmtId="2" fontId="1" fillId="0" borderId="26" xfId="0" applyNumberFormat="1" applyFont="1" applyFill="1" applyBorder="1" applyAlignment="1" applyProtection="1">
      <alignment horizontal="center"/>
      <protection locked="0"/>
    </xf>
    <xf numFmtId="2" fontId="1" fillId="7" borderId="31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Alignment="1" applyProtection="1">
      <alignment horizontal="center"/>
      <protection locked="0"/>
    </xf>
    <xf numFmtId="2" fontId="1" fillId="0" borderId="32" xfId="0" applyNumberFormat="1" applyFont="1" applyFill="1" applyBorder="1" applyAlignment="1" applyProtection="1">
      <alignment horizontal="center"/>
      <protection locked="0"/>
    </xf>
    <xf numFmtId="169" fontId="1" fillId="0" borderId="9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7" fillId="2" borderId="0" xfId="0" applyFont="1" applyFill="1"/>
    <xf numFmtId="9" fontId="18" fillId="10" borderId="0" xfId="4" applyFont="1" applyFill="1"/>
    <xf numFmtId="0" fontId="18" fillId="6" borderId="16" xfId="0" applyFont="1" applyFill="1" applyBorder="1" applyAlignment="1" applyProtection="1">
      <alignment horizontal="center"/>
      <protection locked="0"/>
    </xf>
    <xf numFmtId="1" fontId="18" fillId="6" borderId="16" xfId="0" applyNumberFormat="1" applyFont="1" applyFill="1" applyBorder="1" applyAlignment="1" applyProtection="1">
      <alignment horizontal="center"/>
      <protection locked="0"/>
    </xf>
    <xf numFmtId="1" fontId="1" fillId="7" borderId="16" xfId="0" applyNumberFormat="1" applyFont="1" applyFill="1" applyBorder="1" applyAlignment="1" applyProtection="1">
      <alignment horizontal="center"/>
      <protection locked="0"/>
    </xf>
    <xf numFmtId="1" fontId="18" fillId="6" borderId="16" xfId="2" applyNumberFormat="1" applyFont="1" applyFill="1" applyBorder="1" applyAlignment="1" applyProtection="1">
      <alignment horizontal="center"/>
      <protection locked="0"/>
    </xf>
    <xf numFmtId="9" fontId="0" fillId="0" borderId="0" xfId="4" applyFont="1"/>
    <xf numFmtId="0" fontId="15" fillId="0" borderId="0" xfId="0" applyFont="1" applyAlignment="1">
      <alignment horizontal="right"/>
    </xf>
    <xf numFmtId="0" fontId="0" fillId="5" borderId="33" xfId="0" applyFill="1" applyBorder="1" applyAlignment="1">
      <alignment horizontal="center"/>
    </xf>
    <xf numFmtId="0" fontId="0" fillId="5" borderId="34" xfId="0" applyFill="1" applyBorder="1" applyAlignment="1">
      <alignment horizontal="center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1" fillId="0" borderId="35" xfId="0" applyNumberFormat="1" applyFont="1" applyFill="1" applyBorder="1" applyAlignment="1" applyProtection="1">
      <alignment horizontal="center" wrapText="1"/>
      <protection locked="0"/>
    </xf>
    <xf numFmtId="0" fontId="1" fillId="0" borderId="36" xfId="0" applyNumberFormat="1" applyFont="1" applyFill="1" applyBorder="1" applyAlignment="1" applyProtection="1">
      <alignment horizontal="center" wrapText="1"/>
      <protection locked="0"/>
    </xf>
    <xf numFmtId="0" fontId="7" fillId="5" borderId="28" xfId="0" applyNumberFormat="1" applyFont="1" applyFill="1" applyBorder="1" applyAlignment="1" applyProtection="1">
      <alignment horizontal="center" wrapText="1"/>
      <protection locked="0"/>
    </xf>
    <xf numFmtId="0" fontId="1" fillId="5" borderId="18" xfId="0" applyNumberFormat="1" applyFont="1" applyFill="1" applyBorder="1" applyAlignment="1" applyProtection="1">
      <alignment horizontal="center" wrapText="1"/>
      <protection locked="0"/>
    </xf>
    <xf numFmtId="0" fontId="7" fillId="0" borderId="28" xfId="0" applyNumberFormat="1" applyFont="1" applyFill="1" applyBorder="1" applyAlignment="1" applyProtection="1">
      <alignment horizontal="center" wrapText="1"/>
      <protection locked="0"/>
    </xf>
    <xf numFmtId="0" fontId="1" fillId="0" borderId="18" xfId="0" applyNumberFormat="1" applyFont="1" applyFill="1" applyBorder="1" applyAlignment="1" applyProtection="1">
      <alignment horizontal="center" wrapText="1"/>
      <protection locked="0"/>
    </xf>
    <xf numFmtId="0" fontId="1" fillId="5" borderId="28" xfId="0" applyNumberFormat="1" applyFont="1" applyFill="1" applyBorder="1" applyAlignment="1" applyProtection="1">
      <alignment horizontal="center" wrapText="1"/>
      <protection locked="0"/>
    </xf>
    <xf numFmtId="0" fontId="1" fillId="0" borderId="28" xfId="0" applyNumberFormat="1" applyFont="1" applyFill="1" applyBorder="1" applyAlignment="1" applyProtection="1">
      <alignment horizontal="center" wrapText="1"/>
      <protection locked="0"/>
    </xf>
    <xf numFmtId="0" fontId="1" fillId="0" borderId="37" xfId="0" applyNumberFormat="1" applyFont="1" applyFill="1" applyBorder="1" applyAlignment="1" applyProtection="1">
      <alignment horizontal="center" wrapText="1"/>
      <protection locked="0"/>
    </xf>
    <xf numFmtId="0" fontId="1" fillId="0" borderId="38" xfId="0" applyNumberFormat="1" applyFont="1" applyFill="1" applyBorder="1" applyAlignment="1" applyProtection="1">
      <alignment horizontal="center" wrapText="1"/>
      <protection locked="0"/>
    </xf>
    <xf numFmtId="0" fontId="6" fillId="0" borderId="2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5" borderId="33" xfId="0" applyFont="1" applyFill="1" applyBorder="1" applyAlignment="1">
      <alignment horizontal="center"/>
    </xf>
    <xf numFmtId="0" fontId="3" fillId="5" borderId="34" xfId="0" applyFont="1" applyFill="1" applyBorder="1" applyAlignment="1">
      <alignment horizontal="center"/>
    </xf>
    <xf numFmtId="0" fontId="15" fillId="2" borderId="0" xfId="0" applyFont="1" applyFill="1" applyAlignment="1">
      <alignment horizontal="left"/>
    </xf>
  </cellXfs>
  <cellStyles count="5">
    <cellStyle name="Euro" xfId="1"/>
    <cellStyle name="Euro 2" xfId="2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9525</xdr:rowOff>
    </xdr:from>
    <xdr:to>
      <xdr:col>11</xdr:col>
      <xdr:colOff>685800</xdr:colOff>
      <xdr:row>20</xdr:row>
      <xdr:rowOff>19050</xdr:rowOff>
    </xdr:to>
    <xdr:pic>
      <xdr:nvPicPr>
        <xdr:cNvPr id="154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66850"/>
          <a:ext cx="8305800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3:I48"/>
  <sheetViews>
    <sheetView topLeftCell="A25" workbookViewId="0">
      <selection activeCell="I39" sqref="I39"/>
    </sheetView>
  </sheetViews>
  <sheetFormatPr baseColWidth="10" defaultRowHeight="12.75" x14ac:dyDescent="0.2"/>
  <cols>
    <col min="1" max="1" width="31.140625" bestFit="1" customWidth="1"/>
    <col min="2" max="2" width="17.140625" customWidth="1"/>
    <col min="4" max="4" width="9" customWidth="1"/>
  </cols>
  <sheetData>
    <row r="3" spans="1:9" x14ac:dyDescent="0.2">
      <c r="A3" s="4" t="s">
        <v>12</v>
      </c>
      <c r="B3" s="33">
        <v>1.3</v>
      </c>
    </row>
    <row r="5" spans="1:9" x14ac:dyDescent="0.2">
      <c r="A5" s="4" t="s">
        <v>19</v>
      </c>
      <c r="E5" s="4" t="s">
        <v>82</v>
      </c>
    </row>
    <row r="6" spans="1:9" x14ac:dyDescent="0.2">
      <c r="A6" s="7" t="s">
        <v>6</v>
      </c>
      <c r="B6" s="114">
        <f>$F$35*E6</f>
        <v>0</v>
      </c>
      <c r="C6" t="s">
        <v>20</v>
      </c>
      <c r="E6" s="167">
        <v>0</v>
      </c>
      <c r="I6" s="165" t="s">
        <v>114</v>
      </c>
    </row>
    <row r="7" spans="1:9" x14ac:dyDescent="0.2">
      <c r="A7" s="7" t="s">
        <v>15</v>
      </c>
      <c r="B7" s="114">
        <f>I7/eurodol</f>
        <v>2.3076923076923075</v>
      </c>
      <c r="C7" t="s">
        <v>20</v>
      </c>
      <c r="E7" s="167">
        <v>0.2</v>
      </c>
      <c r="G7" s="166" t="s">
        <v>123</v>
      </c>
      <c r="H7" s="33"/>
      <c r="I7" s="33">
        <v>3</v>
      </c>
    </row>
    <row r="8" spans="1:9" x14ac:dyDescent="0.2">
      <c r="A8" s="7" t="s">
        <v>4</v>
      </c>
      <c r="B8" s="114">
        <f>I8/eurodol</f>
        <v>3.8461538461538458</v>
      </c>
      <c r="C8" t="s">
        <v>20</v>
      </c>
      <c r="E8" s="167">
        <v>0.4</v>
      </c>
      <c r="G8" s="166" t="s">
        <v>123</v>
      </c>
      <c r="H8" s="33"/>
      <c r="I8" s="33">
        <v>5</v>
      </c>
    </row>
    <row r="10" spans="1:9" x14ac:dyDescent="0.2">
      <c r="A10" s="6" t="s">
        <v>24</v>
      </c>
      <c r="B10" s="34">
        <v>0.02</v>
      </c>
      <c r="C10" t="s">
        <v>21</v>
      </c>
    </row>
    <row r="11" spans="1:9" x14ac:dyDescent="0.2">
      <c r="B11" s="7"/>
    </row>
    <row r="12" spans="1:9" x14ac:dyDescent="0.2">
      <c r="A12" s="4" t="s">
        <v>26</v>
      </c>
      <c r="B12" s="34">
        <v>0.05</v>
      </c>
      <c r="C12" t="s">
        <v>25</v>
      </c>
    </row>
    <row r="13" spans="1:9" x14ac:dyDescent="0.2">
      <c r="B13" s="7"/>
    </row>
    <row r="14" spans="1:9" x14ac:dyDescent="0.2">
      <c r="A14" s="4" t="s">
        <v>27</v>
      </c>
      <c r="B14" s="34">
        <v>0.05</v>
      </c>
      <c r="C14" t="s">
        <v>25</v>
      </c>
    </row>
    <row r="15" spans="1:9" x14ac:dyDescent="0.2">
      <c r="F15" t="s">
        <v>58</v>
      </c>
    </row>
    <row r="16" spans="1:9" x14ac:dyDescent="0.2">
      <c r="A16" s="7" t="s">
        <v>28</v>
      </c>
      <c r="B16" t="s">
        <v>29</v>
      </c>
      <c r="E16" s="35">
        <f>B10</f>
        <v>0.02</v>
      </c>
      <c r="F16" s="36">
        <f>1+E16</f>
        <v>1.02</v>
      </c>
    </row>
    <row r="17" spans="1:6" x14ac:dyDescent="0.2">
      <c r="B17" t="s">
        <v>30</v>
      </c>
      <c r="E17" s="35">
        <f>B12+B14</f>
        <v>0.1</v>
      </c>
      <c r="F17" s="36">
        <f>1+E17</f>
        <v>1.1000000000000001</v>
      </c>
    </row>
    <row r="19" spans="1:6" x14ac:dyDescent="0.2">
      <c r="A19" s="4" t="s">
        <v>22</v>
      </c>
    </row>
    <row r="20" spans="1:6" x14ac:dyDescent="0.2">
      <c r="A20" s="7" t="s">
        <v>61</v>
      </c>
      <c r="B20" t="s">
        <v>59</v>
      </c>
      <c r="C20" t="s">
        <v>60</v>
      </c>
    </row>
    <row r="21" spans="1:6" x14ac:dyDescent="0.2">
      <c r="A21" s="7" t="s">
        <v>13</v>
      </c>
      <c r="B21" s="37">
        <v>0</v>
      </c>
      <c r="C21" s="37">
        <v>0.05</v>
      </c>
    </row>
    <row r="22" spans="1:6" x14ac:dyDescent="0.2">
      <c r="A22" s="7" t="s">
        <v>62</v>
      </c>
      <c r="B22" s="37">
        <v>0.05</v>
      </c>
      <c r="C22" s="37">
        <v>0</v>
      </c>
    </row>
    <row r="25" spans="1:6" ht="13.5" thickBot="1" x14ac:dyDescent="0.25"/>
    <row r="26" spans="1:6" x14ac:dyDescent="0.2">
      <c r="A26" s="20" t="s">
        <v>35</v>
      </c>
      <c r="B26" s="21" t="s">
        <v>52</v>
      </c>
      <c r="C26" s="21" t="s">
        <v>56</v>
      </c>
      <c r="D26" s="22" t="s">
        <v>34</v>
      </c>
      <c r="E26" s="22" t="s">
        <v>36</v>
      </c>
      <c r="F26" s="23" t="s">
        <v>81</v>
      </c>
    </row>
    <row r="27" spans="1:6" x14ac:dyDescent="0.2">
      <c r="A27" s="24" t="s">
        <v>37</v>
      </c>
      <c r="B27" s="25" t="s">
        <v>55</v>
      </c>
      <c r="C27" s="25" t="s">
        <v>11</v>
      </c>
      <c r="D27" s="26">
        <v>20</v>
      </c>
      <c r="E27" s="26">
        <v>7400</v>
      </c>
      <c r="F27" s="27">
        <f t="shared" ref="F27:F33" si="0">D27/eurodol</f>
        <v>15.384615384615383</v>
      </c>
    </row>
    <row r="28" spans="1:6" x14ac:dyDescent="0.2">
      <c r="A28" s="24" t="s">
        <v>38</v>
      </c>
      <c r="B28" s="25" t="s">
        <v>10</v>
      </c>
      <c r="C28" s="25" t="s">
        <v>57</v>
      </c>
      <c r="D28" s="26">
        <v>15</v>
      </c>
      <c r="E28" s="26">
        <v>2800</v>
      </c>
      <c r="F28" s="27">
        <f t="shared" si="0"/>
        <v>11.538461538461538</v>
      </c>
    </row>
    <row r="29" spans="1:6" x14ac:dyDescent="0.2">
      <c r="A29" s="24" t="s">
        <v>39</v>
      </c>
      <c r="B29" s="25" t="s">
        <v>10</v>
      </c>
      <c r="C29" s="25" t="s">
        <v>57</v>
      </c>
      <c r="D29" s="26">
        <v>14</v>
      </c>
      <c r="E29" s="26">
        <v>3000</v>
      </c>
      <c r="F29" s="27">
        <f t="shared" si="0"/>
        <v>10.769230769230768</v>
      </c>
    </row>
    <row r="30" spans="1:6" x14ac:dyDescent="0.2">
      <c r="A30" s="24" t="s">
        <v>53</v>
      </c>
      <c r="B30" s="25" t="s">
        <v>72</v>
      </c>
      <c r="C30" s="25" t="s">
        <v>13</v>
      </c>
      <c r="D30" s="26">
        <v>37.299999999999997</v>
      </c>
      <c r="E30" s="26">
        <v>206</v>
      </c>
      <c r="F30" s="27">
        <f t="shared" si="0"/>
        <v>28.69230769230769</v>
      </c>
    </row>
    <row r="31" spans="1:6" x14ac:dyDescent="0.2">
      <c r="A31" s="24" t="s">
        <v>54</v>
      </c>
      <c r="B31" s="25" t="s">
        <v>73</v>
      </c>
      <c r="C31" s="25" t="s">
        <v>13</v>
      </c>
      <c r="D31" s="26">
        <v>27.3</v>
      </c>
      <c r="E31" s="26">
        <v>1200</v>
      </c>
      <c r="F31" s="27">
        <f t="shared" si="0"/>
        <v>21</v>
      </c>
    </row>
    <row r="32" spans="1:6" x14ac:dyDescent="0.2">
      <c r="A32" s="24" t="s">
        <v>70</v>
      </c>
      <c r="B32" s="25" t="s">
        <v>74</v>
      </c>
      <c r="C32" s="25" t="s">
        <v>13</v>
      </c>
      <c r="D32" s="26">
        <v>27.3</v>
      </c>
      <c r="E32" s="26">
        <v>910</v>
      </c>
      <c r="F32" s="27">
        <f t="shared" si="0"/>
        <v>21</v>
      </c>
    </row>
    <row r="33" spans="1:6" x14ac:dyDescent="0.2">
      <c r="A33" s="24" t="s">
        <v>71</v>
      </c>
      <c r="B33" s="25" t="s">
        <v>75</v>
      </c>
      <c r="C33" s="25" t="s">
        <v>13</v>
      </c>
      <c r="D33" s="26">
        <v>27.3</v>
      </c>
      <c r="E33" s="26">
        <v>938</v>
      </c>
      <c r="F33" s="27">
        <f t="shared" si="0"/>
        <v>21</v>
      </c>
    </row>
    <row r="34" spans="1:6" x14ac:dyDescent="0.2">
      <c r="A34" s="28" t="s">
        <v>69</v>
      </c>
      <c r="B34" s="106" t="s">
        <v>76</v>
      </c>
      <c r="C34" s="106" t="s">
        <v>13</v>
      </c>
      <c r="D34" s="108">
        <f>F34*eurodol</f>
        <v>27.600299999999997</v>
      </c>
      <c r="E34" s="107">
        <v>6590</v>
      </c>
      <c r="F34" s="27">
        <f>20.22*1.05</f>
        <v>21.230999999999998</v>
      </c>
    </row>
    <row r="35" spans="1:6" x14ac:dyDescent="0.2">
      <c r="A35" s="121" t="s">
        <v>80</v>
      </c>
      <c r="B35" s="117" t="s">
        <v>117</v>
      </c>
      <c r="C35" s="117" t="s">
        <v>11</v>
      </c>
      <c r="D35" s="119">
        <v>18.899999999999999</v>
      </c>
      <c r="E35" s="119">
        <v>7300</v>
      </c>
      <c r="F35" s="120">
        <f>D35/eurodol</f>
        <v>14.538461538461537</v>
      </c>
    </row>
    <row r="36" spans="1:6" x14ac:dyDescent="0.2">
      <c r="A36" s="116" t="s">
        <v>88</v>
      </c>
      <c r="B36" s="117" t="s">
        <v>91</v>
      </c>
      <c r="C36" s="117" t="s">
        <v>13</v>
      </c>
      <c r="D36" s="118" t="e">
        <f t="shared" ref="D36:D42" si="1">F36*eurodol</f>
        <v>#REF!</v>
      </c>
      <c r="E36" s="119" t="e">
        <f>[0]!pdslivré</f>
        <v>#REF!</v>
      </c>
      <c r="F36" s="120" t="e">
        <f>#REF!</f>
        <v>#REF!</v>
      </c>
    </row>
    <row r="37" spans="1:6" x14ac:dyDescent="0.2">
      <c r="A37" s="116" t="s">
        <v>86</v>
      </c>
      <c r="B37" s="117" t="s">
        <v>79</v>
      </c>
      <c r="C37" s="117" t="s">
        <v>13</v>
      </c>
      <c r="D37" s="118" t="e">
        <f t="shared" si="1"/>
        <v>#REF!</v>
      </c>
      <c r="E37" s="119" t="e">
        <f>[0]!pdslivré</f>
        <v>#REF!</v>
      </c>
      <c r="F37" s="120" t="e">
        <f>#REF!</f>
        <v>#REF!</v>
      </c>
    </row>
    <row r="38" spans="1:6" x14ac:dyDescent="0.2">
      <c r="A38" s="116" t="s">
        <v>87</v>
      </c>
      <c r="B38" s="117" t="s">
        <v>90</v>
      </c>
      <c r="C38" s="117" t="s">
        <v>13</v>
      </c>
      <c r="D38" s="118" t="e">
        <f t="shared" si="1"/>
        <v>#REF!</v>
      </c>
      <c r="E38" s="119" t="e">
        <f>[0]!pdslivré</f>
        <v>#REF!</v>
      </c>
      <c r="F38" s="120" t="e">
        <f>#REF!</f>
        <v>#REF!</v>
      </c>
    </row>
    <row r="39" spans="1:6" x14ac:dyDescent="0.2">
      <c r="A39" s="122" t="s">
        <v>84</v>
      </c>
      <c r="B39" s="106" t="s">
        <v>79</v>
      </c>
      <c r="C39" s="106" t="s">
        <v>13</v>
      </c>
      <c r="D39" s="123" t="e">
        <f t="shared" si="1"/>
        <v>#REF!</v>
      </c>
      <c r="E39" s="107" t="e">
        <f>[0]!pdslivré</f>
        <v>#REF!</v>
      </c>
      <c r="F39" s="124" t="e">
        <f>#REF!</f>
        <v>#REF!</v>
      </c>
    </row>
    <row r="40" spans="1:6" x14ac:dyDescent="0.2">
      <c r="A40" s="122" t="s">
        <v>85</v>
      </c>
      <c r="B40" s="106" t="s">
        <v>90</v>
      </c>
      <c r="C40" s="106" t="s">
        <v>13</v>
      </c>
      <c r="D40" s="123" t="e">
        <f>F40*eurodol</f>
        <v>#REF!</v>
      </c>
      <c r="E40" s="107" t="e">
        <f>[0]!pdslivré</f>
        <v>#REF!</v>
      </c>
      <c r="F40" s="124" t="e">
        <f>#REF!</f>
        <v>#REF!</v>
      </c>
    </row>
    <row r="41" spans="1:6" x14ac:dyDescent="0.2">
      <c r="A41" s="28" t="s">
        <v>107</v>
      </c>
      <c r="B41" s="106" t="s">
        <v>91</v>
      </c>
      <c r="C41" s="106" t="s">
        <v>13</v>
      </c>
      <c r="D41" s="123" t="e">
        <f t="shared" si="1"/>
        <v>#REF!</v>
      </c>
      <c r="E41" s="107" t="e">
        <f>[0]!pdslivré</f>
        <v>#REF!</v>
      </c>
      <c r="F41" s="124" t="e">
        <f>#REF!</f>
        <v>#REF!</v>
      </c>
    </row>
    <row r="42" spans="1:6" x14ac:dyDescent="0.2">
      <c r="A42" s="28" t="s">
        <v>89</v>
      </c>
      <c r="B42" s="106" t="s">
        <v>106</v>
      </c>
      <c r="C42" s="106" t="s">
        <v>14</v>
      </c>
      <c r="D42" s="123" t="e">
        <f t="shared" si="1"/>
        <v>#REF!</v>
      </c>
      <c r="E42" s="107" t="e">
        <f>[0]!pdslivré</f>
        <v>#REF!</v>
      </c>
      <c r="F42" s="124" t="e">
        <f>#REF!</f>
        <v>#REF!</v>
      </c>
    </row>
    <row r="43" spans="1:6" x14ac:dyDescent="0.2">
      <c r="A43" s="28"/>
      <c r="B43" s="26"/>
      <c r="C43" s="26"/>
      <c r="D43" s="26"/>
      <c r="E43" s="26"/>
      <c r="F43" s="29"/>
    </row>
    <row r="44" spans="1:6" x14ac:dyDescent="0.2">
      <c r="A44" s="28"/>
      <c r="B44" s="26"/>
      <c r="C44" s="26"/>
      <c r="D44" s="26"/>
      <c r="E44" s="26"/>
      <c r="F44" s="29"/>
    </row>
    <row r="45" spans="1:6" x14ac:dyDescent="0.2">
      <c r="A45" s="28"/>
      <c r="B45" s="26"/>
      <c r="C45" s="26"/>
      <c r="D45" s="26"/>
      <c r="E45" s="26"/>
      <c r="F45" s="29"/>
    </row>
    <row r="46" spans="1:6" x14ac:dyDescent="0.2">
      <c r="A46" s="28"/>
      <c r="B46" s="26"/>
      <c r="C46" s="26"/>
      <c r="D46" s="26"/>
      <c r="E46" s="26"/>
      <c r="F46" s="29"/>
    </row>
    <row r="47" spans="1:6" x14ac:dyDescent="0.2">
      <c r="A47" s="28"/>
      <c r="B47" s="26"/>
      <c r="C47" s="26"/>
      <c r="D47" s="26"/>
      <c r="E47" s="26"/>
      <c r="F47" s="29"/>
    </row>
    <row r="48" spans="1:6" ht="13.5" thickBot="1" x14ac:dyDescent="0.25">
      <c r="A48" s="30"/>
      <c r="B48" s="31"/>
      <c r="C48" s="31"/>
      <c r="D48" s="31"/>
      <c r="E48" s="31"/>
      <c r="F48" s="32"/>
    </row>
  </sheetData>
  <phoneticPr fontId="2" type="noConversion"/>
  <pageMargins left="0.31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  <pageSetUpPr fitToPage="1"/>
  </sheetPr>
  <dimension ref="A1:Q55"/>
  <sheetViews>
    <sheetView workbookViewId="0">
      <selection activeCell="K9" sqref="K9"/>
    </sheetView>
  </sheetViews>
  <sheetFormatPr baseColWidth="10" defaultRowHeight="12.75" x14ac:dyDescent="0.2"/>
  <cols>
    <col min="1" max="1" width="38.5703125" customWidth="1"/>
    <col min="2" max="2" width="16.42578125" customWidth="1"/>
    <col min="3" max="3" width="7.140625" customWidth="1"/>
    <col min="4" max="4" width="10.5703125" customWidth="1"/>
    <col min="5" max="5" width="12.42578125" customWidth="1"/>
    <col min="6" max="6" width="15.85546875" customWidth="1"/>
    <col min="7" max="7" width="12.5703125" customWidth="1"/>
    <col min="8" max="8" width="6.42578125" bestFit="1" customWidth="1"/>
    <col min="9" max="9" width="7.42578125" customWidth="1"/>
    <col min="10" max="10" width="9.140625" customWidth="1"/>
    <col min="11" max="11" width="8.5703125" customWidth="1"/>
    <col min="12" max="12" width="8.28515625" customWidth="1"/>
    <col min="13" max="13" width="8" bestFit="1" customWidth="1"/>
    <col min="14" max="14" width="13.28515625" bestFit="1" customWidth="1"/>
  </cols>
  <sheetData>
    <row r="1" spans="1:14" ht="12.75" customHeight="1" x14ac:dyDescent="0.2">
      <c r="A1" s="85" t="s">
        <v>23</v>
      </c>
      <c r="B1" s="86"/>
      <c r="C1" s="86"/>
      <c r="D1" s="86"/>
      <c r="E1" s="86"/>
      <c r="F1" s="86" t="str">
        <f>CONCATENATE("1 € =",FIXED(eurodol,2)," $")</f>
        <v>1 € =1,30 $</v>
      </c>
      <c r="G1" s="87"/>
    </row>
    <row r="2" spans="1:14" x14ac:dyDescent="0.2">
      <c r="A2" s="88"/>
      <c r="B2" s="89"/>
      <c r="C2" s="90" t="s">
        <v>34</v>
      </c>
      <c r="D2" s="90" t="s">
        <v>32</v>
      </c>
      <c r="E2" s="90" t="s">
        <v>33</v>
      </c>
      <c r="F2" s="90" t="s">
        <v>51</v>
      </c>
      <c r="G2" s="91" t="s">
        <v>56</v>
      </c>
    </row>
    <row r="3" spans="1:14" ht="18" x14ac:dyDescent="0.25">
      <c r="A3" s="92" t="s">
        <v>49</v>
      </c>
      <c r="B3" s="105"/>
      <c r="C3" s="93" t="e">
        <f>VLOOKUP(B3,pentree,4,FALSE)</f>
        <v>#N/A</v>
      </c>
      <c r="D3" s="89" t="e">
        <f>VLOOKUP(B3,pentree,5,FALSE)</f>
        <v>#N/A</v>
      </c>
      <c r="E3" s="93" t="e">
        <f>VLOOKUP(B3,pentree,6,FALSE)</f>
        <v>#N/A</v>
      </c>
      <c r="F3" s="93" t="e">
        <f>VLOOKUP(B3,pentree,2,FALSE)</f>
        <v>#N/A</v>
      </c>
      <c r="G3" s="94" t="e">
        <f>VLOOKUP(B3,pentree,3,FALSE)</f>
        <v>#N/A</v>
      </c>
      <c r="I3" s="176" t="str">
        <f ca="1">MID(CELL("filename",A1),FIND("]",CELL("filename",A1))+1,32)</f>
        <v>Modèle</v>
      </c>
      <c r="J3" s="176"/>
      <c r="K3" s="176"/>
      <c r="L3" s="176"/>
      <c r="M3" s="176"/>
      <c r="N3" s="176"/>
    </row>
    <row r="4" spans="1:14" x14ac:dyDescent="0.2">
      <c r="A4" s="95" t="s">
        <v>19</v>
      </c>
      <c r="B4" s="89"/>
      <c r="C4" s="89"/>
      <c r="D4" s="89"/>
      <c r="E4" s="89"/>
      <c r="F4" s="89"/>
      <c r="G4" s="96"/>
    </row>
    <row r="5" spans="1:14" x14ac:dyDescent="0.2">
      <c r="A5" s="97" t="s">
        <v>6</v>
      </c>
      <c r="B5" s="89"/>
      <c r="C5" s="89"/>
      <c r="D5" s="89"/>
      <c r="E5" s="98">
        <f>Paramètres!B6</f>
        <v>0</v>
      </c>
      <c r="F5" s="89"/>
      <c r="G5" s="96"/>
    </row>
    <row r="6" spans="1:14" x14ac:dyDescent="0.2">
      <c r="A6" s="97" t="s">
        <v>5</v>
      </c>
      <c r="B6" s="89"/>
      <c r="C6" s="89"/>
      <c r="D6" s="89"/>
      <c r="E6" s="98">
        <f>Paramètres!B7</f>
        <v>2.3076923076923075</v>
      </c>
      <c r="F6" s="89"/>
      <c r="G6" s="96"/>
    </row>
    <row r="7" spans="1:14" x14ac:dyDescent="0.2">
      <c r="A7" s="97" t="s">
        <v>4</v>
      </c>
      <c r="B7" s="89"/>
      <c r="C7" s="89"/>
      <c r="D7" s="89"/>
      <c r="E7" s="98">
        <f>Paramètres!B8</f>
        <v>3.8461538461538458</v>
      </c>
      <c r="F7" s="89"/>
      <c r="G7" s="96"/>
    </row>
    <row r="8" spans="1:14" x14ac:dyDescent="0.2">
      <c r="A8" s="97" t="s">
        <v>40</v>
      </c>
      <c r="B8" s="89"/>
      <c r="C8" s="89"/>
      <c r="D8" s="89"/>
      <c r="E8" s="93">
        <f>macm</f>
        <v>1.02</v>
      </c>
      <c r="F8" s="89"/>
      <c r="G8" s="96"/>
    </row>
    <row r="9" spans="1:14" x14ac:dyDescent="0.2">
      <c r="A9" s="97" t="s">
        <v>41</v>
      </c>
      <c r="B9" s="89"/>
      <c r="C9" s="89"/>
      <c r="D9" s="89"/>
      <c r="E9" s="93">
        <f>macaj</f>
        <v>1.1000000000000001</v>
      </c>
      <c r="F9" s="89"/>
      <c r="G9" s="96"/>
    </row>
    <row r="10" spans="1:14" x14ac:dyDescent="0.2">
      <c r="A10" s="97" t="s">
        <v>63</v>
      </c>
      <c r="B10" s="89"/>
      <c r="C10" s="89"/>
      <c r="D10" s="89"/>
      <c r="E10" s="99">
        <f>VLOOKUP(B14,MPS,2,FALSE)</f>
        <v>0.05</v>
      </c>
      <c r="F10" s="89"/>
      <c r="G10" s="96"/>
    </row>
    <row r="11" spans="1:14" ht="13.5" thickBot="1" x14ac:dyDescent="0.25">
      <c r="A11" s="100" t="s">
        <v>64</v>
      </c>
      <c r="B11" s="101"/>
      <c r="C11" s="101"/>
      <c r="D11" s="101"/>
      <c r="E11" s="102">
        <f>VLOOKUP(B14,MPS,3,FALSE)</f>
        <v>0</v>
      </c>
      <c r="F11" s="101"/>
      <c r="G11" s="103"/>
    </row>
    <row r="12" spans="1:14" x14ac:dyDescent="0.2">
      <c r="B12" s="3"/>
    </row>
    <row r="14" spans="1:14" x14ac:dyDescent="0.2">
      <c r="A14" s="38" t="s">
        <v>43</v>
      </c>
      <c r="B14" s="104" t="s">
        <v>62</v>
      </c>
    </row>
    <row r="15" spans="1:14" ht="6.75" customHeight="1" thickBot="1" x14ac:dyDescent="0.25">
      <c r="A15" s="5"/>
    </row>
    <row r="16" spans="1:14" ht="36.75" customHeight="1" thickTop="1" x14ac:dyDescent="0.2">
      <c r="A16" s="41" t="s">
        <v>0</v>
      </c>
      <c r="B16" s="42" t="s">
        <v>1</v>
      </c>
      <c r="C16" s="42" t="s">
        <v>2</v>
      </c>
      <c r="D16" s="42" t="s">
        <v>46</v>
      </c>
      <c r="E16" s="42" t="s">
        <v>47</v>
      </c>
      <c r="F16" s="42" t="s">
        <v>45</v>
      </c>
      <c r="G16" s="42" t="s">
        <v>66</v>
      </c>
      <c r="H16" s="42" t="s">
        <v>3</v>
      </c>
      <c r="I16" s="42" t="s">
        <v>4</v>
      </c>
      <c r="J16" s="42" t="s">
        <v>5</v>
      </c>
      <c r="K16" s="42" t="s">
        <v>6</v>
      </c>
      <c r="L16" s="42" t="s">
        <v>7</v>
      </c>
      <c r="M16" s="42" t="s">
        <v>8</v>
      </c>
      <c r="N16" s="137" t="s">
        <v>9</v>
      </c>
    </row>
    <row r="17" spans="1:15" x14ac:dyDescent="0.2">
      <c r="A17" s="150">
        <f>B3</f>
        <v>0</v>
      </c>
      <c r="B17" s="151" t="e">
        <f>G3</f>
        <v>#N/A</v>
      </c>
      <c r="C17" s="56" t="e">
        <f>D3</f>
        <v>#N/A</v>
      </c>
      <c r="D17" s="61"/>
      <c r="E17" s="61"/>
      <c r="F17" s="40"/>
      <c r="G17" s="62"/>
      <c r="H17" s="62" t="e">
        <f>C17</f>
        <v>#N/A</v>
      </c>
      <c r="I17" s="56"/>
      <c r="J17" s="56"/>
      <c r="K17" s="56"/>
      <c r="L17" s="56"/>
      <c r="M17" s="138"/>
      <c r="N17" s="139"/>
    </row>
    <row r="18" spans="1:15" x14ac:dyDescent="0.2">
      <c r="A18" s="72"/>
      <c r="B18" s="73"/>
      <c r="C18" s="48" t="e">
        <f t="shared" ref="C18:C27" si="0">H17</f>
        <v>#N/A</v>
      </c>
      <c r="D18" s="74"/>
      <c r="E18" s="74"/>
      <c r="F18" s="49"/>
      <c r="G18" s="63"/>
      <c r="H18" s="63" t="e">
        <f>C18-SUM(I18:L18)</f>
        <v>#N/A</v>
      </c>
      <c r="I18" s="75"/>
      <c r="J18" s="75"/>
      <c r="K18" s="75"/>
      <c r="L18" s="75"/>
      <c r="M18" s="140" t="e">
        <f t="shared" ref="M18:M27" si="1">C18-SUM(H18:L18)</f>
        <v>#N/A</v>
      </c>
      <c r="N18" s="141"/>
    </row>
    <row r="19" spans="1:15" x14ac:dyDescent="0.2">
      <c r="A19" s="78"/>
      <c r="B19" s="79"/>
      <c r="C19" s="54" t="e">
        <f t="shared" si="0"/>
        <v>#N/A</v>
      </c>
      <c r="D19" s="81"/>
      <c r="E19" s="81"/>
      <c r="F19" s="55"/>
      <c r="G19" s="64"/>
      <c r="H19" s="64" t="e">
        <f t="shared" ref="H19:H27" si="2">C19-SUM(I19:L19)</f>
        <v>#N/A</v>
      </c>
      <c r="I19" s="83"/>
      <c r="J19" s="83"/>
      <c r="K19" s="83"/>
      <c r="L19" s="83"/>
      <c r="M19" s="142" t="e">
        <f t="shared" si="1"/>
        <v>#N/A</v>
      </c>
      <c r="N19" s="143"/>
    </row>
    <row r="20" spans="1:15" x14ac:dyDescent="0.2">
      <c r="A20" s="72"/>
      <c r="B20" s="73"/>
      <c r="C20" s="48" t="e">
        <f t="shared" si="0"/>
        <v>#N/A</v>
      </c>
      <c r="D20" s="74"/>
      <c r="E20" s="74"/>
      <c r="F20" s="49"/>
      <c r="G20" s="63"/>
      <c r="H20" s="63" t="e">
        <f t="shared" si="2"/>
        <v>#N/A</v>
      </c>
      <c r="I20" s="75"/>
      <c r="J20" s="75"/>
      <c r="K20" s="75"/>
      <c r="L20" s="75"/>
      <c r="M20" s="140" t="e">
        <f t="shared" si="1"/>
        <v>#N/A</v>
      </c>
      <c r="N20" s="141"/>
    </row>
    <row r="21" spans="1:15" x14ac:dyDescent="0.2">
      <c r="A21" s="78"/>
      <c r="B21" s="79"/>
      <c r="C21" s="54" t="e">
        <f t="shared" si="0"/>
        <v>#N/A</v>
      </c>
      <c r="D21" s="82"/>
      <c r="E21" s="82"/>
      <c r="F21" s="55"/>
      <c r="G21" s="64"/>
      <c r="H21" s="64" t="e">
        <f t="shared" si="2"/>
        <v>#N/A</v>
      </c>
      <c r="I21" s="83"/>
      <c r="J21" s="83"/>
      <c r="K21" s="83"/>
      <c r="L21" s="83"/>
      <c r="M21" s="142" t="e">
        <f t="shared" si="1"/>
        <v>#N/A</v>
      </c>
      <c r="N21" s="143"/>
    </row>
    <row r="22" spans="1:15" x14ac:dyDescent="0.2">
      <c r="A22" s="72"/>
      <c r="B22" s="73"/>
      <c r="C22" s="48" t="e">
        <f t="shared" si="0"/>
        <v>#N/A</v>
      </c>
      <c r="D22" s="76"/>
      <c r="E22" s="76"/>
      <c r="F22" s="49"/>
      <c r="G22" s="63"/>
      <c r="H22" s="63" t="e">
        <f t="shared" si="2"/>
        <v>#N/A</v>
      </c>
      <c r="I22" s="75"/>
      <c r="J22" s="75"/>
      <c r="K22" s="75"/>
      <c r="L22" s="75"/>
      <c r="M22" s="140" t="e">
        <f t="shared" si="1"/>
        <v>#N/A</v>
      </c>
      <c r="N22" s="141"/>
    </row>
    <row r="23" spans="1:15" x14ac:dyDescent="0.2">
      <c r="A23" s="78"/>
      <c r="B23" s="79"/>
      <c r="C23" s="54" t="e">
        <f t="shared" si="0"/>
        <v>#N/A</v>
      </c>
      <c r="D23" s="82"/>
      <c r="E23" s="82"/>
      <c r="F23" s="55"/>
      <c r="G23" s="64"/>
      <c r="H23" s="64" t="e">
        <f t="shared" si="2"/>
        <v>#N/A</v>
      </c>
      <c r="I23" s="83"/>
      <c r="J23" s="83"/>
      <c r="K23" s="83"/>
      <c r="L23" s="83"/>
      <c r="M23" s="142" t="e">
        <f t="shared" si="1"/>
        <v>#N/A</v>
      </c>
      <c r="N23" s="144"/>
    </row>
    <row r="24" spans="1:15" x14ac:dyDescent="0.2">
      <c r="A24" s="72"/>
      <c r="B24" s="73"/>
      <c r="C24" s="48" t="e">
        <f t="shared" si="0"/>
        <v>#N/A</v>
      </c>
      <c r="D24" s="76"/>
      <c r="E24" s="76"/>
      <c r="F24" s="49"/>
      <c r="G24" s="49"/>
      <c r="H24" s="49" t="e">
        <f t="shared" si="2"/>
        <v>#N/A</v>
      </c>
      <c r="I24" s="75"/>
      <c r="J24" s="75"/>
      <c r="K24" s="75"/>
      <c r="L24" s="75"/>
      <c r="M24" s="49" t="e">
        <f t="shared" si="1"/>
        <v>#N/A</v>
      </c>
      <c r="N24" s="149"/>
      <c r="O24" s="131"/>
    </row>
    <row r="25" spans="1:15" x14ac:dyDescent="0.2">
      <c r="A25" s="78"/>
      <c r="B25" s="79"/>
      <c r="C25" s="54" t="e">
        <f t="shared" si="0"/>
        <v>#N/A</v>
      </c>
      <c r="D25" s="82"/>
      <c r="E25" s="82"/>
      <c r="F25" s="55"/>
      <c r="G25" s="64"/>
      <c r="H25" s="64" t="e">
        <f t="shared" si="2"/>
        <v>#N/A</v>
      </c>
      <c r="I25" s="83"/>
      <c r="J25" s="83"/>
      <c r="K25" s="83"/>
      <c r="L25" s="83"/>
      <c r="M25" s="55" t="e">
        <f t="shared" si="1"/>
        <v>#N/A</v>
      </c>
      <c r="N25" s="143"/>
    </row>
    <row r="26" spans="1:15" x14ac:dyDescent="0.2">
      <c r="A26" s="72"/>
      <c r="B26" s="73"/>
      <c r="C26" s="48" t="e">
        <f t="shared" si="0"/>
        <v>#N/A</v>
      </c>
      <c r="D26" s="76"/>
      <c r="E26" s="76"/>
      <c r="F26" s="49" t="str">
        <f>IF(B26="","",IF(B26="UKAD",VLOOKUP($B$14,MPS,2,FALSE),VLOOKUP($B$14,MPS,3,FALSE))*E26)</f>
        <v/>
      </c>
      <c r="G26" s="63" t="str">
        <f>IF(A26="","",IF(B26="",E26,E26+F26))</f>
        <v/>
      </c>
      <c r="H26" s="63" t="e">
        <f t="shared" si="2"/>
        <v>#N/A</v>
      </c>
      <c r="I26" s="75"/>
      <c r="J26" s="75"/>
      <c r="K26" s="75"/>
      <c r="L26" s="75"/>
      <c r="M26" s="49" t="e">
        <f t="shared" si="1"/>
        <v>#N/A</v>
      </c>
      <c r="N26" s="141"/>
    </row>
    <row r="27" spans="1:15" ht="13.5" thickBot="1" x14ac:dyDescent="0.25">
      <c r="A27" s="80"/>
      <c r="B27" s="79"/>
      <c r="C27" s="54" t="e">
        <f t="shared" si="0"/>
        <v>#N/A</v>
      </c>
      <c r="D27" s="82"/>
      <c r="E27" s="82"/>
      <c r="F27" s="55" t="str">
        <f>IF(B27="","",IF(B27="UKAD",VLOOKUP($B$14,MPS,2,FALSE),VLOOKUP($B$14,MPS,3,FALSE))*E27)</f>
        <v/>
      </c>
      <c r="G27" s="64" t="str">
        <f>IF(A27="","",IF(B27="",E27,E27+F27))</f>
        <v/>
      </c>
      <c r="H27" s="64" t="e">
        <f t="shared" si="2"/>
        <v>#N/A</v>
      </c>
      <c r="I27" s="83"/>
      <c r="J27" s="84"/>
      <c r="K27" s="79"/>
      <c r="L27" s="83"/>
      <c r="M27" s="55" t="e">
        <f t="shared" si="1"/>
        <v>#N/A</v>
      </c>
      <c r="N27" s="145"/>
    </row>
    <row r="28" spans="1:15" s="4" customFormat="1" ht="14.25" thickTop="1" thickBot="1" x14ac:dyDescent="0.25">
      <c r="A28" s="69" t="s">
        <v>18</v>
      </c>
      <c r="B28" s="66"/>
      <c r="C28" s="66" t="e">
        <f>C17</f>
        <v>#N/A</v>
      </c>
      <c r="D28" s="70">
        <f>SUM(D17:D27)</f>
        <v>0</v>
      </c>
      <c r="E28" s="70">
        <f>SUM(E17:E27)</f>
        <v>0</v>
      </c>
      <c r="F28" s="70">
        <f>SUM(F17:F27)</f>
        <v>0</v>
      </c>
      <c r="G28" s="70">
        <f>SUM(G17:G27)</f>
        <v>0</v>
      </c>
      <c r="H28" s="71" t="e">
        <f xml:space="preserve"> MIN(H9:H27)</f>
        <v>#N/A</v>
      </c>
      <c r="I28" s="70">
        <f>SUM(I18:I27)</f>
        <v>0</v>
      </c>
      <c r="J28" s="70">
        <f>SUM(J18:J27)</f>
        <v>0</v>
      </c>
      <c r="K28" s="70">
        <f>SUM(K18:K27)</f>
        <v>0</v>
      </c>
      <c r="L28" s="70">
        <f>SUM(L18:L27)</f>
        <v>0</v>
      </c>
      <c r="M28" s="70" t="e">
        <f>SUM(M18:M27)</f>
        <v>#N/A</v>
      </c>
      <c r="N28" s="146"/>
    </row>
    <row r="29" spans="1:15" s="4" customFormat="1" ht="13.5" thickTop="1" x14ac:dyDescent="0.2">
      <c r="A29" s="15"/>
      <c r="B29" s="16"/>
      <c r="C29" s="16"/>
      <c r="D29" s="17"/>
      <c r="E29" s="17"/>
      <c r="F29" s="17"/>
      <c r="G29" s="17"/>
      <c r="H29" s="18"/>
      <c r="I29" s="17"/>
      <c r="J29" s="17"/>
      <c r="K29" s="17"/>
      <c r="L29" s="17"/>
      <c r="M29" s="19"/>
      <c r="N29" s="16"/>
    </row>
    <row r="30" spans="1:15" x14ac:dyDescent="0.2">
      <c r="A30" s="1"/>
      <c r="D30" s="2"/>
      <c r="E30" s="2"/>
      <c r="F30" s="2"/>
      <c r="G30" s="2"/>
      <c r="H30" s="14"/>
      <c r="I30" s="13"/>
      <c r="J30" s="13"/>
      <c r="K30" s="13"/>
      <c r="L30" s="13"/>
      <c r="M30" s="9"/>
    </row>
    <row r="31" spans="1:15" x14ac:dyDescent="0.2">
      <c r="A31" s="39" t="s">
        <v>50</v>
      </c>
    </row>
    <row r="32" spans="1:15" ht="4.5" customHeight="1" thickBot="1" x14ac:dyDescent="0.25"/>
    <row r="33" spans="1:17" ht="14.25" thickTop="1" thickBot="1" x14ac:dyDescent="0.25">
      <c r="A33" s="43" t="s">
        <v>16</v>
      </c>
      <c r="B33" s="44"/>
      <c r="C33" s="45"/>
      <c r="D33" s="44">
        <f>D28*macaj</f>
        <v>0</v>
      </c>
      <c r="E33" s="44">
        <f>E28*macaj</f>
        <v>0</v>
      </c>
      <c r="F33" s="44"/>
      <c r="G33" s="46">
        <f>G28*macaj</f>
        <v>0</v>
      </c>
      <c r="I33" s="174" t="s">
        <v>65</v>
      </c>
      <c r="J33" s="175"/>
      <c r="K33" s="147" t="e">
        <f>C17/pdslivré*1000</f>
        <v>#N/A</v>
      </c>
    </row>
    <row r="34" spans="1:17" ht="13.5" thickTop="1" x14ac:dyDescent="0.2">
      <c r="A34" s="53" t="s">
        <v>17</v>
      </c>
      <c r="B34" s="52"/>
      <c r="C34" s="54"/>
      <c r="D34" s="55" t="e">
        <f>D33/pdslivré</f>
        <v>#N/A</v>
      </c>
      <c r="E34" s="55" t="e">
        <f>E33/pdslivré</f>
        <v>#N/A</v>
      </c>
      <c r="F34" s="55"/>
      <c r="G34" s="51" t="e">
        <f>G33/pdslivré</f>
        <v>#N/A</v>
      </c>
      <c r="M34" s="177" t="s">
        <v>100</v>
      </c>
      <c r="N34" s="177"/>
      <c r="O34" s="177"/>
      <c r="P34" s="177"/>
      <c r="Q34" s="177"/>
    </row>
    <row r="35" spans="1:17" ht="13.5" thickBot="1" x14ac:dyDescent="0.25">
      <c r="A35" s="47" t="s">
        <v>42</v>
      </c>
      <c r="B35" s="48"/>
      <c r="C35" s="48"/>
      <c r="D35" s="49" t="e">
        <f>B48*macm/pdslivré</f>
        <v>#N/A</v>
      </c>
      <c r="E35" s="49" t="e">
        <f>B48*macm/pdslivré</f>
        <v>#N/A</v>
      </c>
      <c r="F35" s="49"/>
      <c r="G35" s="50" t="e">
        <f>B48*ctmatiere/pdslivré</f>
        <v>#N/A</v>
      </c>
      <c r="M35" s="7" t="s">
        <v>101</v>
      </c>
      <c r="N35" s="178" t="s">
        <v>102</v>
      </c>
      <c r="O35" s="178"/>
    </row>
    <row r="36" spans="1:17" s="4" customFormat="1" ht="14.25" thickTop="1" thickBot="1" x14ac:dyDescent="0.25">
      <c r="A36" s="65" t="s">
        <v>48</v>
      </c>
      <c r="B36" s="66"/>
      <c r="C36" s="66"/>
      <c r="D36" s="67" t="e">
        <f>SUM(D34:D35)</f>
        <v>#N/A</v>
      </c>
      <c r="E36" s="67" t="e">
        <f>SUM(E34:E35)</f>
        <v>#N/A</v>
      </c>
      <c r="F36" s="66"/>
      <c r="G36" s="68" t="e">
        <f>SUM(G34:G35)</f>
        <v>#N/A</v>
      </c>
      <c r="M36" s="136" t="s">
        <v>94</v>
      </c>
      <c r="N36" s="178"/>
      <c r="O36" s="178"/>
    </row>
    <row r="37" spans="1:17" s="4" customFormat="1" ht="13.5" thickTop="1" x14ac:dyDescent="0.2">
      <c r="A37" s="132"/>
      <c r="B37" s="132"/>
      <c r="C37" s="135" t="s">
        <v>13</v>
      </c>
      <c r="D37" s="126">
        <f>SUMIF($B$17:$B$27,C37,$D$17:$D$27)*macaj</f>
        <v>0</v>
      </c>
      <c r="E37" s="126">
        <f t="shared" ref="E37:E42" si="3">SUMIF($B$17:$B$27,C37,$E$17:$E$27)*macaj</f>
        <v>0</v>
      </c>
      <c r="F37" s="127" t="e">
        <f t="shared" ref="F37:G39" si="4">D37/pdslivré</f>
        <v>#N/A</v>
      </c>
      <c r="G37" s="127" t="e">
        <f t="shared" si="4"/>
        <v>#N/A</v>
      </c>
      <c r="M37" s="136" t="s">
        <v>95</v>
      </c>
      <c r="N37" s="178"/>
      <c r="O37" s="178"/>
    </row>
    <row r="38" spans="1:17" s="4" customFormat="1" x14ac:dyDescent="0.2">
      <c r="A38" s="16"/>
      <c r="B38" s="16"/>
      <c r="C38" s="135" t="s">
        <v>14</v>
      </c>
      <c r="D38" s="126">
        <f>SUMIF($B$17:$B$27,C38,$D$17:$D$27)*macaj</f>
        <v>0</v>
      </c>
      <c r="E38" s="126">
        <f t="shared" si="3"/>
        <v>0</v>
      </c>
      <c r="F38" s="127" t="e">
        <f t="shared" si="4"/>
        <v>#N/A</v>
      </c>
      <c r="G38" s="127" t="e">
        <f t="shared" si="4"/>
        <v>#N/A</v>
      </c>
      <c r="M38" s="136" t="s">
        <v>96</v>
      </c>
      <c r="N38" s="178"/>
      <c r="O38" s="178"/>
    </row>
    <row r="39" spans="1:17" x14ac:dyDescent="0.2">
      <c r="C39" s="135" t="s">
        <v>92</v>
      </c>
      <c r="D39" s="126">
        <f>SUMIF($B$17:$B$27,C39,$D$17:$D$27)*macaj</f>
        <v>0</v>
      </c>
      <c r="E39" s="126">
        <f t="shared" si="3"/>
        <v>0</v>
      </c>
      <c r="F39" s="127" t="e">
        <f t="shared" si="4"/>
        <v>#N/A</v>
      </c>
      <c r="G39" s="127" t="e">
        <f t="shared" si="4"/>
        <v>#N/A</v>
      </c>
      <c r="L39" s="4"/>
      <c r="M39" s="136" t="s">
        <v>97</v>
      </c>
      <c r="N39" s="178"/>
      <c r="O39" s="178"/>
      <c r="P39" s="4"/>
      <c r="Q39" s="4"/>
    </row>
    <row r="40" spans="1:17" x14ac:dyDescent="0.2">
      <c r="C40" s="135" t="s">
        <v>104</v>
      </c>
      <c r="D40" s="126">
        <f>SUMIF($B$17:$B$27,C40,$D$17:$D$27)*macaj</f>
        <v>0</v>
      </c>
      <c r="E40" s="126">
        <f t="shared" si="3"/>
        <v>0</v>
      </c>
      <c r="F40" s="127" t="e">
        <f t="shared" ref="F40:G42" si="5">D40/pdslivré</f>
        <v>#N/A</v>
      </c>
      <c r="G40" s="127" t="e">
        <f t="shared" si="5"/>
        <v>#N/A</v>
      </c>
      <c r="M40" s="136" t="s">
        <v>98</v>
      </c>
      <c r="N40" s="178"/>
      <c r="O40" s="178"/>
    </row>
    <row r="41" spans="1:17" x14ac:dyDescent="0.2">
      <c r="C41" s="135" t="s">
        <v>105</v>
      </c>
      <c r="D41" s="126">
        <f>SUMIF($B$17:$B$27,C41,$D$17:$D$27)*macaj</f>
        <v>0</v>
      </c>
      <c r="E41" s="126">
        <f t="shared" si="3"/>
        <v>0</v>
      </c>
      <c r="F41" s="127" t="e">
        <f t="shared" si="5"/>
        <v>#N/A</v>
      </c>
      <c r="G41" s="127" t="e">
        <f t="shared" si="5"/>
        <v>#N/A</v>
      </c>
      <c r="M41" s="136" t="s">
        <v>103</v>
      </c>
      <c r="N41" s="178"/>
      <c r="O41" s="178"/>
    </row>
    <row r="42" spans="1:17" x14ac:dyDescent="0.2">
      <c r="A42" s="38" t="s">
        <v>44</v>
      </c>
      <c r="C42" s="135" t="s">
        <v>77</v>
      </c>
      <c r="D42" s="126">
        <f>SUMIF($B$17:$B$27,"",$D$17:$D$27)*macaj</f>
        <v>0</v>
      </c>
      <c r="E42" s="126">
        <f t="shared" si="3"/>
        <v>0</v>
      </c>
      <c r="F42" s="127" t="e">
        <f t="shared" si="5"/>
        <v>#N/A</v>
      </c>
      <c r="G42" s="127" t="e">
        <f t="shared" si="5"/>
        <v>#N/A</v>
      </c>
      <c r="M42" s="136" t="s">
        <v>108</v>
      </c>
    </row>
    <row r="43" spans="1:17" ht="5.25" customHeight="1" thickBot="1" x14ac:dyDescent="0.25">
      <c r="B43" s="12"/>
      <c r="F43" s="16"/>
      <c r="G43" s="16"/>
    </row>
    <row r="44" spans="1:17" ht="13.5" thickTop="1" x14ac:dyDescent="0.2">
      <c r="A44" s="43" t="s">
        <v>68</v>
      </c>
      <c r="B44" s="57" t="e">
        <f>C17*E3</f>
        <v>#N/A</v>
      </c>
      <c r="F44" s="148"/>
      <c r="G44" s="148"/>
    </row>
    <row r="45" spans="1:17" x14ac:dyDescent="0.2">
      <c r="A45" s="53" t="s">
        <v>4</v>
      </c>
      <c r="B45" s="58">
        <f>E7*I28</f>
        <v>0</v>
      </c>
      <c r="D45" s="8"/>
      <c r="E45" s="8"/>
      <c r="F45" s="8"/>
      <c r="G45" s="8"/>
    </row>
    <row r="46" spans="1:17" x14ac:dyDescent="0.2">
      <c r="A46" s="47" t="s">
        <v>15</v>
      </c>
      <c r="B46" s="59">
        <f>E6*J28</f>
        <v>0</v>
      </c>
    </row>
    <row r="47" spans="1:17" ht="13.5" thickBot="1" x14ac:dyDescent="0.25">
      <c r="A47" s="53" t="s">
        <v>6</v>
      </c>
      <c r="B47" s="60">
        <f>E5*K28</f>
        <v>0</v>
      </c>
    </row>
    <row r="48" spans="1:17" s="4" customFormat="1" ht="14.25" thickTop="1" thickBot="1" x14ac:dyDescent="0.25">
      <c r="A48" s="65" t="s">
        <v>31</v>
      </c>
      <c r="B48" s="68" t="e">
        <f>B44-B45-B46-B47</f>
        <v>#N/A</v>
      </c>
    </row>
    <row r="49" spans="1:6" ht="13.5" thickTop="1" x14ac:dyDescent="0.2">
      <c r="B49" s="10"/>
    </row>
    <row r="51" spans="1:6" x14ac:dyDescent="0.2">
      <c r="A51" s="5"/>
      <c r="B51" s="8"/>
    </row>
    <row r="53" spans="1:6" x14ac:dyDescent="0.2">
      <c r="B53" s="11"/>
      <c r="D53" s="2"/>
      <c r="E53" s="2"/>
      <c r="F53" s="2"/>
    </row>
    <row r="54" spans="1:6" x14ac:dyDescent="0.2">
      <c r="D54" s="2"/>
      <c r="E54" s="2"/>
      <c r="F54" s="2"/>
    </row>
    <row r="55" spans="1:6" x14ac:dyDescent="0.2">
      <c r="D55" s="8"/>
    </row>
  </sheetData>
  <mergeCells count="10">
    <mergeCell ref="N41:O41"/>
    <mergeCell ref="N36:O36"/>
    <mergeCell ref="N37:O37"/>
    <mergeCell ref="N38:O38"/>
    <mergeCell ref="N39:O39"/>
    <mergeCell ref="I33:J33"/>
    <mergeCell ref="I3:N3"/>
    <mergeCell ref="M34:Q34"/>
    <mergeCell ref="N35:O35"/>
    <mergeCell ref="N40:O40"/>
  </mergeCells>
  <phoneticPr fontId="2" type="noConversion"/>
  <dataValidations disablePrompts="1" count="2">
    <dataValidation type="list" allowBlank="1" showInputMessage="1" showErrorMessage="1" sqref="B3">
      <formula1>article</formula1>
    </dataValidation>
    <dataValidation type="list" allowBlank="1" showInputMessage="1" showErrorMessage="1" sqref="B14">
      <formula1>facturation</formula1>
    </dataValidation>
  </dataValidations>
  <pageMargins left="0.11811023622047245" right="0.11811023622047245" top="0.19685039370078741" bottom="0.19685039370078741" header="0.51181102362204722" footer="0.18"/>
  <pageSetup paperSize="9" scale="70" orientation="landscape" r:id="rId1"/>
  <headerFooter alignWithMargins="0">
    <oddFooter>&amp;LP. Delaborde, &amp;D&amp;R&amp;Z&amp;F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56"/>
  <sheetViews>
    <sheetView tabSelected="1" topLeftCell="A25" workbookViewId="0">
      <selection activeCell="J49" sqref="J49"/>
    </sheetView>
  </sheetViews>
  <sheetFormatPr baseColWidth="10" defaultRowHeight="12.75" x14ac:dyDescent="0.2"/>
  <cols>
    <col min="1" max="1" width="38.5703125" customWidth="1"/>
    <col min="2" max="2" width="16.42578125" customWidth="1"/>
    <col min="3" max="3" width="7.140625" customWidth="1"/>
    <col min="4" max="4" width="18.28515625" customWidth="1"/>
    <col min="5" max="5" width="11.5703125" bestFit="1" customWidth="1"/>
    <col min="6" max="6" width="15.85546875" customWidth="1"/>
    <col min="7" max="7" width="12.5703125" customWidth="1"/>
    <col min="8" max="8" width="15.42578125" bestFit="1" customWidth="1"/>
    <col min="9" max="9" width="11" customWidth="1"/>
    <col min="10" max="10" width="9.140625" customWidth="1"/>
    <col min="11" max="11" width="9.42578125" customWidth="1"/>
    <col min="12" max="12" width="8.28515625" customWidth="1"/>
    <col min="13" max="13" width="9.28515625" customWidth="1"/>
    <col min="14" max="14" width="13.28515625" bestFit="1" customWidth="1"/>
  </cols>
  <sheetData>
    <row r="1" spans="1:14" ht="12.75" customHeight="1" x14ac:dyDescent="0.2">
      <c r="A1" s="85" t="s">
        <v>23</v>
      </c>
      <c r="B1" s="86"/>
      <c r="C1" s="86"/>
      <c r="D1" s="86"/>
      <c r="E1" s="86"/>
      <c r="F1" s="86" t="str">
        <f>CONCATENATE("1 € =",FIXED(eurodol,2)," $")</f>
        <v>1 € =1,30 $</v>
      </c>
      <c r="G1" s="87"/>
    </row>
    <row r="2" spans="1:14" x14ac:dyDescent="0.2">
      <c r="A2" s="88"/>
      <c r="B2" s="89"/>
      <c r="C2" s="90" t="s">
        <v>34</v>
      </c>
      <c r="D2" s="90" t="s">
        <v>32</v>
      </c>
      <c r="E2" s="90" t="s">
        <v>33</v>
      </c>
      <c r="F2" s="90" t="s">
        <v>51</v>
      </c>
      <c r="G2" s="91" t="s">
        <v>56</v>
      </c>
    </row>
    <row r="3" spans="1:14" ht="18" x14ac:dyDescent="0.25">
      <c r="A3" s="92" t="s">
        <v>49</v>
      </c>
      <c r="B3" s="105" t="s">
        <v>80</v>
      </c>
      <c r="C3" s="93">
        <f>VLOOKUP(B3,pentree,4,FALSE)</f>
        <v>18.899999999999999</v>
      </c>
      <c r="D3" s="89">
        <f>VLOOKUP(B3,pentree,5,FALSE)</f>
        <v>7300</v>
      </c>
      <c r="E3" s="93">
        <f>VLOOKUP(B3,pentree,6,FALSE)</f>
        <v>14.538461538461537</v>
      </c>
      <c r="F3" s="93" t="str">
        <f>VLOOKUP(B3,pentree,2,FALSE)</f>
        <v>Lingot 910 mm</v>
      </c>
      <c r="G3" s="94" t="str">
        <f>VLOOKUP(B3,pentree,3,FALSE)</f>
        <v>UKTMP</v>
      </c>
      <c r="I3" s="176" t="str">
        <f ca="1">MID(CELL("filename",A1),FIND("]",CELL("filename",A1))+1,32)</f>
        <v>Rond 52</v>
      </c>
      <c r="J3" s="176"/>
      <c r="K3" s="176"/>
      <c r="L3" s="176"/>
      <c r="M3" s="176"/>
      <c r="N3" s="176"/>
    </row>
    <row r="4" spans="1:14" x14ac:dyDescent="0.2">
      <c r="A4" s="95" t="s">
        <v>19</v>
      </c>
      <c r="B4" s="89"/>
      <c r="C4" s="89"/>
      <c r="D4" s="89"/>
      <c r="E4" s="89"/>
      <c r="F4" s="89"/>
      <c r="G4" s="96"/>
    </row>
    <row r="5" spans="1:14" x14ac:dyDescent="0.2">
      <c r="A5" s="97" t="s">
        <v>6</v>
      </c>
      <c r="B5" s="89"/>
      <c r="C5" s="89"/>
      <c r="D5" s="89"/>
      <c r="E5" s="98">
        <f>Paramètres!B6</f>
        <v>0</v>
      </c>
      <c r="F5" s="89"/>
      <c r="G5" s="96"/>
    </row>
    <row r="6" spans="1:14" x14ac:dyDescent="0.2">
      <c r="A6" s="97" t="s">
        <v>5</v>
      </c>
      <c r="B6" s="89"/>
      <c r="C6" s="89"/>
      <c r="D6" s="89"/>
      <c r="E6" s="98">
        <f>Paramètres!B7</f>
        <v>2.3076923076923075</v>
      </c>
      <c r="F6" s="89"/>
      <c r="G6" s="96"/>
      <c r="I6" s="179" t="s">
        <v>119</v>
      </c>
      <c r="J6" s="179"/>
      <c r="K6" s="179"/>
      <c r="L6" s="179"/>
      <c r="M6" s="179"/>
    </row>
    <row r="7" spans="1:14" x14ac:dyDescent="0.2">
      <c r="A7" s="97" t="s">
        <v>4</v>
      </c>
      <c r="B7" s="89"/>
      <c r="C7" s="89"/>
      <c r="D7" s="89"/>
      <c r="E7" s="98">
        <f>Paramètres!B8</f>
        <v>3.8461538461538458</v>
      </c>
      <c r="F7" s="89"/>
      <c r="G7" s="96"/>
      <c r="I7" s="179"/>
      <c r="J7" s="179"/>
      <c r="K7" s="179"/>
      <c r="L7" s="179"/>
      <c r="M7" s="179"/>
    </row>
    <row r="8" spans="1:14" x14ac:dyDescent="0.2">
      <c r="A8" s="97" t="s">
        <v>40</v>
      </c>
      <c r="B8" s="89"/>
      <c r="C8" s="89"/>
      <c r="D8" s="89"/>
      <c r="E8" s="93">
        <f>macm</f>
        <v>1.02</v>
      </c>
      <c r="F8" s="89"/>
      <c r="G8" s="96"/>
      <c r="I8" s="179"/>
      <c r="J8" s="179"/>
      <c r="K8" s="179"/>
      <c r="L8" s="179"/>
      <c r="M8" s="179"/>
    </row>
    <row r="9" spans="1:14" x14ac:dyDescent="0.2">
      <c r="A9" s="97" t="s">
        <v>41</v>
      </c>
      <c r="B9" s="89"/>
      <c r="C9" s="89"/>
      <c r="D9" s="89"/>
      <c r="E9" s="93">
        <f>macaj</f>
        <v>1.1000000000000001</v>
      </c>
      <c r="F9" s="89"/>
      <c r="G9" s="96"/>
      <c r="I9" s="179"/>
      <c r="J9" s="179"/>
      <c r="K9" s="179"/>
      <c r="L9" s="179"/>
      <c r="M9" s="179"/>
    </row>
    <row r="10" spans="1:14" x14ac:dyDescent="0.2">
      <c r="A10" s="97" t="s">
        <v>63</v>
      </c>
      <c r="B10" s="89"/>
      <c r="C10" s="89"/>
      <c r="D10" s="89"/>
      <c r="E10" s="99">
        <f>VLOOKUP(B14,MPS,2,FALSE)</f>
        <v>0</v>
      </c>
      <c r="F10" s="89"/>
      <c r="G10" s="96"/>
      <c r="I10" s="179"/>
      <c r="J10" s="179"/>
      <c r="K10" s="179"/>
      <c r="L10" s="179"/>
      <c r="M10" s="179"/>
    </row>
    <row r="11" spans="1:14" ht="13.5" thickBot="1" x14ac:dyDescent="0.25">
      <c r="A11" s="100" t="s">
        <v>64</v>
      </c>
      <c r="B11" s="101"/>
      <c r="C11" s="101"/>
      <c r="D11" s="101"/>
      <c r="E11" s="102">
        <f>VLOOKUP(B14,MPS,3,FALSE)</f>
        <v>0.05</v>
      </c>
      <c r="F11" s="101"/>
      <c r="G11" s="103"/>
      <c r="I11" s="179"/>
      <c r="J11" s="179"/>
      <c r="K11" s="179"/>
      <c r="L11" s="179"/>
      <c r="M11" s="179"/>
    </row>
    <row r="12" spans="1:14" x14ac:dyDescent="0.2">
      <c r="B12" s="3"/>
    </row>
    <row r="14" spans="1:14" x14ac:dyDescent="0.2">
      <c r="A14" s="38" t="s">
        <v>43</v>
      </c>
      <c r="B14" s="104" t="s">
        <v>13</v>
      </c>
    </row>
    <row r="15" spans="1:14" ht="6.75" customHeight="1" thickBot="1" x14ac:dyDescent="0.25">
      <c r="A15" s="5"/>
    </row>
    <row r="16" spans="1:14" ht="39.75" thickTop="1" thickBot="1" x14ac:dyDescent="0.25">
      <c r="A16" s="41" t="s">
        <v>0</v>
      </c>
      <c r="B16" s="42" t="s">
        <v>1</v>
      </c>
      <c r="C16" s="42" t="s">
        <v>2</v>
      </c>
      <c r="D16" s="42" t="s">
        <v>110</v>
      </c>
      <c r="E16" s="42" t="s">
        <v>111</v>
      </c>
      <c r="F16" s="42" t="s">
        <v>112</v>
      </c>
      <c r="G16" s="42" t="s">
        <v>3</v>
      </c>
      <c r="H16" s="42" t="s">
        <v>4</v>
      </c>
      <c r="I16" s="42" t="s">
        <v>5</v>
      </c>
      <c r="J16" s="42" t="s">
        <v>6</v>
      </c>
      <c r="K16" s="42" t="s">
        <v>7</v>
      </c>
      <c r="L16" s="42" t="s">
        <v>8</v>
      </c>
      <c r="M16" s="180" t="s">
        <v>9</v>
      </c>
      <c r="N16" s="181"/>
    </row>
    <row r="17" spans="1:17" ht="13.5" thickTop="1" x14ac:dyDescent="0.2">
      <c r="A17" s="77" t="str">
        <f>B3</f>
        <v>LI-UKT-7300-VV</v>
      </c>
      <c r="B17" s="161" t="str">
        <f>G3</f>
        <v>UKTMP</v>
      </c>
      <c r="C17" s="162">
        <f>D3</f>
        <v>7300</v>
      </c>
      <c r="D17" s="164"/>
      <c r="E17" s="164"/>
      <c r="F17" s="164"/>
      <c r="G17" s="162">
        <f>C17</f>
        <v>7300</v>
      </c>
      <c r="H17" s="162"/>
      <c r="I17" s="162"/>
      <c r="J17" s="162"/>
      <c r="K17" s="162"/>
      <c r="L17" s="163"/>
      <c r="M17" s="182"/>
      <c r="N17" s="183"/>
    </row>
    <row r="18" spans="1:17" ht="12.75" customHeight="1" x14ac:dyDescent="0.2">
      <c r="A18" s="72" t="s">
        <v>83</v>
      </c>
      <c r="B18" s="153" t="s">
        <v>13</v>
      </c>
      <c r="C18" s="154">
        <f>G17</f>
        <v>7300</v>
      </c>
      <c r="D18" s="152">
        <v>4808</v>
      </c>
      <c r="E18" s="152">
        <f>D18</f>
        <v>4808</v>
      </c>
      <c r="F18" s="152">
        <v>12595.51</v>
      </c>
      <c r="G18" s="155">
        <f>C18-SUM(H18:K18)</f>
        <v>6636</v>
      </c>
      <c r="H18" s="168">
        <v>158</v>
      </c>
      <c r="I18" s="168">
        <v>0</v>
      </c>
      <c r="J18" s="168">
        <v>323</v>
      </c>
      <c r="K18" s="168">
        <v>183</v>
      </c>
      <c r="L18" s="156">
        <f>C18-SUM(G18:K18)</f>
        <v>0</v>
      </c>
      <c r="M18" s="184" t="s">
        <v>118</v>
      </c>
      <c r="N18" s="185"/>
    </row>
    <row r="19" spans="1:17" ht="12.75" customHeight="1" x14ac:dyDescent="0.2">
      <c r="A19" s="78" t="s">
        <v>93</v>
      </c>
      <c r="B19" s="157" t="s">
        <v>113</v>
      </c>
      <c r="C19" s="158">
        <f>G18</f>
        <v>6636</v>
      </c>
      <c r="D19" s="159">
        <v>1967</v>
      </c>
      <c r="E19" s="159">
        <f>D19</f>
        <v>1967</v>
      </c>
      <c r="F19" s="159">
        <f>D19</f>
        <v>1967</v>
      </c>
      <c r="G19" s="111">
        <f>C19-SUM(H19:K19)</f>
        <v>6636</v>
      </c>
      <c r="H19" s="111"/>
      <c r="I19" s="111"/>
      <c r="J19" s="111"/>
      <c r="K19" s="111"/>
      <c r="L19" s="160">
        <f>C19-SUM(G19:K19)</f>
        <v>0</v>
      </c>
      <c r="M19" s="186" t="s">
        <v>118</v>
      </c>
      <c r="N19" s="187"/>
    </row>
    <row r="20" spans="1:17" ht="25.5" x14ac:dyDescent="0.2">
      <c r="A20" s="72" t="s">
        <v>78</v>
      </c>
      <c r="B20" s="153" t="s">
        <v>14</v>
      </c>
      <c r="C20" s="154">
        <f>G19</f>
        <v>6636</v>
      </c>
      <c r="D20" s="171">
        <f>2.65*G20</f>
        <v>14933.279999999999</v>
      </c>
      <c r="E20" s="171">
        <f>2*D20</f>
        <v>29866.559999999998</v>
      </c>
      <c r="F20" s="171">
        <f>E20</f>
        <v>29866.559999999998</v>
      </c>
      <c r="G20" s="169">
        <f>C20-SUM(H20:K20)</f>
        <v>5635.2</v>
      </c>
      <c r="H20" s="169">
        <f>0.047*C20</f>
        <v>311.892</v>
      </c>
      <c r="I20" s="169">
        <v>669</v>
      </c>
      <c r="J20" s="168"/>
      <c r="K20" s="169">
        <f>0.003*C20</f>
        <v>19.908000000000001</v>
      </c>
      <c r="L20" s="156">
        <f>C20-SUM(G20:K20)</f>
        <v>0</v>
      </c>
      <c r="M20" s="184" t="s">
        <v>120</v>
      </c>
      <c r="N20" s="185"/>
    </row>
    <row r="21" spans="1:17" ht="26.25" customHeight="1" x14ac:dyDescent="0.2">
      <c r="A21" s="78" t="s">
        <v>109</v>
      </c>
      <c r="B21" s="157" t="s">
        <v>14</v>
      </c>
      <c r="C21" s="158">
        <f>G20</f>
        <v>5635.2</v>
      </c>
      <c r="D21" s="170">
        <v>2176.6079999999997</v>
      </c>
      <c r="E21" s="170">
        <v>4353.2159999999994</v>
      </c>
      <c r="F21" s="170">
        <f>E21</f>
        <v>4353.2159999999994</v>
      </c>
      <c r="G21" s="170">
        <f>C21-SUM(H21:K21)</f>
        <v>5635.2</v>
      </c>
      <c r="H21" s="111"/>
      <c r="I21" s="111"/>
      <c r="J21" s="111"/>
      <c r="K21" s="111"/>
      <c r="L21" s="160">
        <f>C21-SUM(G21:K21)</f>
        <v>0</v>
      </c>
      <c r="M21" s="186" t="s">
        <v>116</v>
      </c>
      <c r="N21" s="187"/>
    </row>
    <row r="22" spans="1:17" x14ac:dyDescent="0.2">
      <c r="A22" s="72"/>
      <c r="B22" s="153"/>
      <c r="C22" s="154"/>
      <c r="D22" s="152"/>
      <c r="E22" s="152"/>
      <c r="F22" s="152"/>
      <c r="G22" s="155"/>
      <c r="H22" s="155"/>
      <c r="I22" s="155"/>
      <c r="J22" s="155"/>
      <c r="K22" s="155"/>
      <c r="L22" s="156"/>
      <c r="M22" s="188"/>
      <c r="N22" s="185"/>
    </row>
    <row r="23" spans="1:17" x14ac:dyDescent="0.2">
      <c r="A23" s="78"/>
      <c r="B23" s="79"/>
      <c r="C23" s="112"/>
      <c r="D23" s="82"/>
      <c r="E23" s="82"/>
      <c r="F23" s="82"/>
      <c r="G23" s="83"/>
      <c r="H23" s="83"/>
      <c r="I23" s="83"/>
      <c r="J23" s="83"/>
      <c r="K23" s="83"/>
      <c r="L23" s="110"/>
      <c r="M23" s="189"/>
      <c r="N23" s="187"/>
    </row>
    <row r="24" spans="1:17" x14ac:dyDescent="0.2">
      <c r="A24" s="72"/>
      <c r="B24" s="73"/>
      <c r="C24" s="48" t="str">
        <f t="shared" ref="C24:C29" si="0">IF(A24="","",G23)</f>
        <v/>
      </c>
      <c r="D24" s="76"/>
      <c r="E24" s="76"/>
      <c r="F24" s="76"/>
      <c r="G24" s="75"/>
      <c r="H24" s="75"/>
      <c r="I24" s="75"/>
      <c r="J24" s="75"/>
      <c r="K24" s="75"/>
      <c r="L24" s="109"/>
      <c r="M24" s="188"/>
      <c r="N24" s="185"/>
    </row>
    <row r="25" spans="1:17" x14ac:dyDescent="0.2">
      <c r="A25" s="78"/>
      <c r="B25" s="79"/>
      <c r="C25" s="54" t="str">
        <f t="shared" si="0"/>
        <v/>
      </c>
      <c r="D25" s="82"/>
      <c r="E25" s="82"/>
      <c r="F25" s="82"/>
      <c r="G25" s="83"/>
      <c r="H25" s="83"/>
      <c r="I25" s="83"/>
      <c r="J25" s="83"/>
      <c r="K25" s="83"/>
      <c r="L25" s="110"/>
      <c r="M25" s="189"/>
      <c r="N25" s="187"/>
    </row>
    <row r="26" spans="1:17" x14ac:dyDescent="0.2">
      <c r="A26" s="72"/>
      <c r="B26" s="73"/>
      <c r="C26" s="48" t="str">
        <f t="shared" si="0"/>
        <v/>
      </c>
      <c r="D26" s="76"/>
      <c r="E26" s="76"/>
      <c r="F26" s="76"/>
      <c r="G26" s="75"/>
      <c r="H26" s="75"/>
      <c r="I26" s="75"/>
      <c r="J26" s="75"/>
      <c r="K26" s="75"/>
      <c r="L26" s="109"/>
      <c r="M26" s="188"/>
      <c r="N26" s="185"/>
      <c r="P26" s="26"/>
      <c r="Q26" s="26"/>
    </row>
    <row r="27" spans="1:17" x14ac:dyDescent="0.2">
      <c r="A27" s="78"/>
      <c r="B27" s="79"/>
      <c r="C27" s="54" t="str">
        <f t="shared" si="0"/>
        <v/>
      </c>
      <c r="D27" s="82"/>
      <c r="E27" s="82"/>
      <c r="F27" s="82"/>
      <c r="G27" s="83"/>
      <c r="H27" s="83"/>
      <c r="I27" s="83"/>
      <c r="J27" s="83"/>
      <c r="K27" s="83"/>
      <c r="L27" s="110"/>
      <c r="M27" s="189"/>
      <c r="N27" s="187"/>
    </row>
    <row r="28" spans="1:17" x14ac:dyDescent="0.2">
      <c r="A28" s="72"/>
      <c r="B28" s="73"/>
      <c r="C28" s="48" t="str">
        <f t="shared" si="0"/>
        <v/>
      </c>
      <c r="D28" s="76"/>
      <c r="E28" s="76"/>
      <c r="F28" s="76"/>
      <c r="G28" s="75"/>
      <c r="H28" s="75"/>
      <c r="I28" s="75"/>
      <c r="J28" s="75"/>
      <c r="K28" s="75"/>
      <c r="L28" s="109"/>
      <c r="M28" s="188"/>
      <c r="N28" s="185"/>
    </row>
    <row r="29" spans="1:17" ht="13.5" thickBot="1" x14ac:dyDescent="0.25">
      <c r="A29" s="80"/>
      <c r="B29" s="79"/>
      <c r="C29" s="54" t="str">
        <f t="shared" si="0"/>
        <v/>
      </c>
      <c r="D29" s="82"/>
      <c r="E29" s="82"/>
      <c r="F29" s="82"/>
      <c r="G29" s="83"/>
      <c r="H29" s="83"/>
      <c r="I29" s="84"/>
      <c r="J29" s="79"/>
      <c r="K29" s="83"/>
      <c r="L29" s="110"/>
      <c r="M29" s="190"/>
      <c r="N29" s="191"/>
    </row>
    <row r="30" spans="1:17" s="4" customFormat="1" ht="14.25" thickTop="1" thickBot="1" x14ac:dyDescent="0.25">
      <c r="A30" s="69" t="s">
        <v>18</v>
      </c>
      <c r="B30" s="66"/>
      <c r="C30" s="66">
        <f>C17</f>
        <v>7300</v>
      </c>
      <c r="D30" s="70">
        <f>SUM(D17:D29)</f>
        <v>23884.887999999999</v>
      </c>
      <c r="E30" s="70">
        <f>SUM(E17:E29)</f>
        <v>40994.775999999998</v>
      </c>
      <c r="F30" s="70">
        <f>SUM(F17:F29)</f>
        <v>48782.286</v>
      </c>
      <c r="G30" s="71">
        <f xml:space="preserve"> MIN(G17:G29)</f>
        <v>5635.2</v>
      </c>
      <c r="H30" s="70">
        <f>ROUND(SUM(H17:H29),0)</f>
        <v>470</v>
      </c>
      <c r="I30" s="70">
        <f>ROUND(SUM(I17:I29),0)</f>
        <v>669</v>
      </c>
      <c r="J30" s="70">
        <f>ROUND(SUM(J17:J29),0)</f>
        <v>323</v>
      </c>
      <c r="K30" s="70">
        <f>ROUND(SUM(K17:K29),0)</f>
        <v>203</v>
      </c>
      <c r="L30" s="70">
        <f>C30-(pdslivré+H30+I30+J30+K30)</f>
        <v>-0.1999999999998181</v>
      </c>
      <c r="M30" s="192"/>
      <c r="N30" s="193"/>
    </row>
    <row r="31" spans="1:17" s="4" customFormat="1" ht="13.5" thickTop="1" x14ac:dyDescent="0.2">
      <c r="A31" s="15"/>
      <c r="B31" s="16"/>
      <c r="C31" s="16"/>
      <c r="D31" s="17"/>
      <c r="E31" s="17"/>
      <c r="F31" s="17"/>
      <c r="G31" s="18"/>
      <c r="H31" s="17"/>
      <c r="I31" s="17"/>
      <c r="J31" s="17"/>
      <c r="K31" s="17"/>
      <c r="L31" s="19"/>
      <c r="M31" s="16"/>
    </row>
    <row r="32" spans="1:17" x14ac:dyDescent="0.2">
      <c r="A32" s="1"/>
      <c r="D32" s="2"/>
      <c r="E32" s="2"/>
      <c r="F32" s="2"/>
      <c r="G32" s="14"/>
      <c r="H32" s="13"/>
      <c r="I32" s="13"/>
      <c r="J32" s="13"/>
      <c r="K32" s="13"/>
      <c r="L32" s="9"/>
    </row>
    <row r="33" spans="1:16" x14ac:dyDescent="0.2">
      <c r="A33" s="39" t="s">
        <v>50</v>
      </c>
    </row>
    <row r="34" spans="1:16" ht="4.5" customHeight="1" thickBot="1" x14ac:dyDescent="0.25"/>
    <row r="35" spans="1:16" ht="14.25" thickTop="1" thickBot="1" x14ac:dyDescent="0.25">
      <c r="A35" s="43" t="s">
        <v>16</v>
      </c>
      <c r="B35" s="44"/>
      <c r="C35" s="45"/>
      <c r="D35" s="44">
        <f>D30*macaj</f>
        <v>26273.376800000002</v>
      </c>
      <c r="E35" s="44">
        <f>E30*macaj</f>
        <v>45094.253600000004</v>
      </c>
      <c r="F35" s="44">
        <f>F30*macaj</f>
        <v>53660.514600000002</v>
      </c>
      <c r="H35" s="194" t="s">
        <v>65</v>
      </c>
      <c r="I35" s="195"/>
      <c r="J35" s="115">
        <f>C17/pdslivré*1000</f>
        <v>1295.4287336740488</v>
      </c>
    </row>
    <row r="36" spans="1:16" ht="13.5" thickTop="1" x14ac:dyDescent="0.2">
      <c r="A36" s="53" t="s">
        <v>17</v>
      </c>
      <c r="B36" s="52"/>
      <c r="C36" s="54"/>
      <c r="D36" s="125">
        <f>D35/pdslivré</f>
        <v>4.6623681147075526</v>
      </c>
      <c r="E36" s="125">
        <f>E35/pdslivré</f>
        <v>8.0022454571266337</v>
      </c>
      <c r="F36" s="55">
        <f>F35/pdslivré</f>
        <v>9.5223797913117547</v>
      </c>
      <c r="L36" s="177" t="s">
        <v>100</v>
      </c>
      <c r="M36" s="177"/>
      <c r="N36" s="177"/>
      <c r="O36" s="177"/>
      <c r="P36" s="177"/>
    </row>
    <row r="37" spans="1:16" ht="13.5" thickBot="1" x14ac:dyDescent="0.25">
      <c r="A37" s="47" t="s">
        <v>42</v>
      </c>
      <c r="B37" s="48"/>
      <c r="C37" s="48"/>
      <c r="D37" s="49">
        <f>B49*macm/pdslivré</f>
        <v>18.603566046389723</v>
      </c>
      <c r="E37" s="49">
        <f>B49*macm/pdslivré</f>
        <v>18.603566046389723</v>
      </c>
      <c r="F37" s="49">
        <f>B49*macm/pdslivré</f>
        <v>18.603566046389723</v>
      </c>
      <c r="L37" s="7" t="s">
        <v>101</v>
      </c>
      <c r="M37" s="178" t="s">
        <v>102</v>
      </c>
      <c r="N37" s="178"/>
    </row>
    <row r="38" spans="1:16" s="4" customFormat="1" ht="14.25" thickTop="1" thickBot="1" x14ac:dyDescent="0.25">
      <c r="A38" s="65" t="s">
        <v>48</v>
      </c>
      <c r="B38" s="66"/>
      <c r="C38" s="66"/>
      <c r="D38" s="67">
        <f>SUM(D36:D37)</f>
        <v>23.265934161097277</v>
      </c>
      <c r="E38" s="67">
        <f>SUM(E36:E37)</f>
        <v>26.605811503516357</v>
      </c>
      <c r="F38" s="67">
        <f>SUM(F36:F37)</f>
        <v>28.125945837701479</v>
      </c>
      <c r="L38" s="136" t="s">
        <v>94</v>
      </c>
      <c r="M38" s="178" t="s">
        <v>65</v>
      </c>
      <c r="N38" s="178"/>
    </row>
    <row r="39" spans="1:16" s="4" customFormat="1" ht="13.5" thickTop="1" x14ac:dyDescent="0.2">
      <c r="A39" s="132"/>
      <c r="B39" s="132"/>
      <c r="C39" s="133" t="s">
        <v>13</v>
      </c>
      <c r="D39" s="126">
        <f>SUMIF($B$17:$B$29,C39,$D$17:$D$29)*macaj</f>
        <v>5288.8</v>
      </c>
      <c r="E39" s="126">
        <f>SUMIF($B$17:$B$29,C39,$E$17:$E$29)*macaj</f>
        <v>5288.8</v>
      </c>
      <c r="F39" s="126">
        <f>SUMIF($B$17:$B$29,C39,$F$17:$F$29)*macaj</f>
        <v>13855.061000000002</v>
      </c>
      <c r="G39" s="127">
        <f t="shared" ref="G39:I42" si="1">D39/pdslivré</f>
        <v>0.9385292447473027</v>
      </c>
      <c r="H39" s="127">
        <f t="shared" si="1"/>
        <v>0.9385292447473027</v>
      </c>
      <c r="I39" s="127">
        <f t="shared" si="1"/>
        <v>2.4586635789324252</v>
      </c>
      <c r="N39" s="136" t="s">
        <v>95</v>
      </c>
      <c r="O39" s="178" t="s">
        <v>99</v>
      </c>
      <c r="P39" s="178"/>
    </row>
    <row r="40" spans="1:16" s="4" customFormat="1" x14ac:dyDescent="0.2">
      <c r="A40" s="16"/>
      <c r="B40" s="16"/>
      <c r="C40" s="133" t="s">
        <v>14</v>
      </c>
      <c r="D40" s="126">
        <f>SUMIF($B$17:$B$29,C40,$D$17:$D$29)*macaj</f>
        <v>18820.876800000002</v>
      </c>
      <c r="E40" s="126">
        <f>SUMIF($B$17:$B$29,C40,$E$17:$E$29)*macaj</f>
        <v>37641.753600000004</v>
      </c>
      <c r="F40" s="126">
        <f>SUMIF($B$17:$B$29,C40,$F$17:$F$29)*macaj</f>
        <v>37641.753600000004</v>
      </c>
      <c r="G40" s="127">
        <f t="shared" si="1"/>
        <v>3.3398773424190806</v>
      </c>
      <c r="H40" s="127">
        <f t="shared" si="1"/>
        <v>6.6797546848381613</v>
      </c>
      <c r="I40" s="127">
        <f t="shared" si="1"/>
        <v>6.6797546848381613</v>
      </c>
      <c r="N40" s="136" t="s">
        <v>96</v>
      </c>
      <c r="O40" s="178"/>
      <c r="P40" s="178"/>
    </row>
    <row r="41" spans="1:16" s="4" customFormat="1" x14ac:dyDescent="0.2">
      <c r="A41" s="16"/>
      <c r="B41" s="16"/>
      <c r="C41" s="133" t="s">
        <v>92</v>
      </c>
      <c r="D41" s="126">
        <f>SUMIF($B$17:$B$29,C41,$D$17:$D$29)*macaj</f>
        <v>0</v>
      </c>
      <c r="E41" s="126">
        <f>SUMIF($B$17:$B$29,C41,$E$17:$E$29)*macaj</f>
        <v>0</v>
      </c>
      <c r="F41" s="126">
        <f>SUMIF($B$17:$B$29,C41,$F$17:$F$29)*macaj</f>
        <v>0</v>
      </c>
      <c r="G41" s="127">
        <f t="shared" si="1"/>
        <v>0</v>
      </c>
      <c r="H41" s="127">
        <f t="shared" si="1"/>
        <v>0</v>
      </c>
      <c r="I41" s="127">
        <f t="shared" si="1"/>
        <v>0</v>
      </c>
      <c r="N41" s="136" t="s">
        <v>97</v>
      </c>
      <c r="O41" s="178"/>
      <c r="P41" s="178"/>
    </row>
    <row r="42" spans="1:16" x14ac:dyDescent="0.2">
      <c r="C42" s="134" t="s">
        <v>77</v>
      </c>
      <c r="D42" s="126">
        <f>SUMIF($B$17:$B$29,"",$D$17:$D$29)*macaj</f>
        <v>0</v>
      </c>
      <c r="E42" s="126">
        <f>SUMIF($B$17:$B$29,"",$E$17:$E$29)*macaj</f>
        <v>0</v>
      </c>
      <c r="F42" s="126">
        <f>SUMIF($B$17:$B$29,"",$F$17:$F$29)*macaj</f>
        <v>0</v>
      </c>
      <c r="G42" s="127">
        <f t="shared" si="1"/>
        <v>0</v>
      </c>
      <c r="H42" s="127">
        <f t="shared" si="1"/>
        <v>0</v>
      </c>
      <c r="I42" s="127">
        <f t="shared" si="1"/>
        <v>0</v>
      </c>
      <c r="N42" s="136" t="s">
        <v>98</v>
      </c>
      <c r="O42" s="178"/>
      <c r="P42" s="178"/>
    </row>
    <row r="43" spans="1:16" x14ac:dyDescent="0.2">
      <c r="A43" s="38" t="s">
        <v>44</v>
      </c>
      <c r="C43" s="128" t="s">
        <v>18</v>
      </c>
      <c r="D43" s="129" t="s">
        <v>115</v>
      </c>
      <c r="E43" s="129">
        <f>SUM(E39:E42)</f>
        <v>42930.553600000007</v>
      </c>
      <c r="F43" s="129">
        <f>SUM(F39:F42)</f>
        <v>51496.814600000005</v>
      </c>
      <c r="G43" s="130">
        <f>SUM(G39:G42)</f>
        <v>4.2784065871663834</v>
      </c>
      <c r="H43" s="130">
        <f>SUM(H39:H42)</f>
        <v>7.6182839295854636</v>
      </c>
      <c r="I43" s="130">
        <f>SUM(I39:I42)</f>
        <v>9.1384182637705855</v>
      </c>
      <c r="N43" s="136" t="s">
        <v>103</v>
      </c>
      <c r="O43" s="178"/>
      <c r="P43" s="178"/>
    </row>
    <row r="44" spans="1:16" ht="5.25" customHeight="1" thickBot="1" x14ac:dyDescent="0.25">
      <c r="B44" s="12"/>
    </row>
    <row r="45" spans="1:16" ht="16.5" thickTop="1" x14ac:dyDescent="0.25">
      <c r="A45" s="43" t="s">
        <v>68</v>
      </c>
      <c r="B45" s="57">
        <f>C17*E3</f>
        <v>106130.76923076922</v>
      </c>
      <c r="D45" s="196" t="s">
        <v>121</v>
      </c>
      <c r="E45" s="196"/>
      <c r="F45" s="196"/>
      <c r="G45" s="196"/>
    </row>
    <row r="46" spans="1:16" x14ac:dyDescent="0.2">
      <c r="A46" s="53" t="s">
        <v>4</v>
      </c>
      <c r="B46" s="58">
        <f>E7*H30</f>
        <v>1807.6923076923076</v>
      </c>
      <c r="F46" t="s">
        <v>125</v>
      </c>
    </row>
    <row r="47" spans="1:16" ht="15.75" x14ac:dyDescent="0.25">
      <c r="A47" s="47" t="s">
        <v>15</v>
      </c>
      <c r="B47" s="59">
        <f>E6*I30</f>
        <v>1543.8461538461538</v>
      </c>
      <c r="D47" s="113" t="s">
        <v>122</v>
      </c>
      <c r="E47">
        <f>($D$37*1.1+$E$36*1.3)*1.1</f>
        <v>33.953525919822653</v>
      </c>
      <c r="F47" s="8">
        <f>E47-$E$38</f>
        <v>7.347714416306296</v>
      </c>
      <c r="G47" s="172">
        <f>F47/E47</f>
        <v>0.21640504829033305</v>
      </c>
    </row>
    <row r="48" spans="1:16" ht="16.5" thickBot="1" x14ac:dyDescent="0.3">
      <c r="A48" s="53" t="s">
        <v>6</v>
      </c>
      <c r="B48" s="60">
        <f>E5*J30</f>
        <v>0</v>
      </c>
      <c r="D48" s="113" t="s">
        <v>124</v>
      </c>
      <c r="E48">
        <f>($D$37*1.1+$E$36*1.3)</f>
        <v>30.866841745293321</v>
      </c>
      <c r="F48" s="8">
        <f>E48-$E$38</f>
        <v>4.2610302417769645</v>
      </c>
      <c r="G48" s="172">
        <f>F48/E48</f>
        <v>0.13804555311936637</v>
      </c>
    </row>
    <row r="49" spans="1:7" s="4" customFormat="1" ht="14.25" thickTop="1" thickBot="1" x14ac:dyDescent="0.25">
      <c r="A49" s="65" t="s">
        <v>31</v>
      </c>
      <c r="B49" s="68">
        <f>B45-B46-B47-B48</f>
        <v>102779.23076923075</v>
      </c>
    </row>
    <row r="50" spans="1:7" ht="16.5" thickTop="1" x14ac:dyDescent="0.25">
      <c r="B50" s="10"/>
      <c r="D50" s="173" t="s">
        <v>126</v>
      </c>
      <c r="E50">
        <f>1.25*D37+1.8*D36+1.35*(E36-D36)</f>
        <v>36.155554576726502</v>
      </c>
      <c r="F50" s="8">
        <f>E50-$E$38</f>
        <v>9.5497430732101449</v>
      </c>
      <c r="G50" s="172">
        <f>F50/E50</f>
        <v>0.26412934845030311</v>
      </c>
    </row>
    <row r="51" spans="1:7" x14ac:dyDescent="0.2">
      <c r="C51" t="s">
        <v>127</v>
      </c>
      <c r="E51">
        <v>35</v>
      </c>
      <c r="F51" s="8">
        <f>E51-$E$38</f>
        <v>8.3941884964836433</v>
      </c>
      <c r="G51" s="172">
        <f>F51/E51</f>
        <v>0.2398339570423898</v>
      </c>
    </row>
    <row r="52" spans="1:7" x14ac:dyDescent="0.2">
      <c r="A52" s="5"/>
      <c r="B52" s="8"/>
    </row>
    <row r="54" spans="1:7" x14ac:dyDescent="0.2">
      <c r="B54" s="11"/>
      <c r="D54" s="2"/>
      <c r="E54" s="2"/>
      <c r="F54" s="2"/>
    </row>
    <row r="55" spans="1:7" x14ac:dyDescent="0.2">
      <c r="D55" s="2"/>
      <c r="E55" s="2"/>
      <c r="F55" s="2"/>
    </row>
    <row r="56" spans="1:7" x14ac:dyDescent="0.2">
      <c r="D56" s="8"/>
    </row>
  </sheetData>
  <mergeCells count="27">
    <mergeCell ref="D45:G45"/>
    <mergeCell ref="L36:P36"/>
    <mergeCell ref="M37:N37"/>
    <mergeCell ref="M38:N38"/>
    <mergeCell ref="O39:P39"/>
    <mergeCell ref="O40:P40"/>
    <mergeCell ref="O41:P41"/>
    <mergeCell ref="M29:N29"/>
    <mergeCell ref="M30:N30"/>
    <mergeCell ref="H35:I35"/>
    <mergeCell ref="O42:P42"/>
    <mergeCell ref="O43:P43"/>
    <mergeCell ref="M24:N24"/>
    <mergeCell ref="M25:N25"/>
    <mergeCell ref="M26:N26"/>
    <mergeCell ref="M27:N27"/>
    <mergeCell ref="M28:N28"/>
    <mergeCell ref="M19:N19"/>
    <mergeCell ref="M20:N20"/>
    <mergeCell ref="M21:N21"/>
    <mergeCell ref="M22:N22"/>
    <mergeCell ref="M23:N23"/>
    <mergeCell ref="I3:N3"/>
    <mergeCell ref="I6:M11"/>
    <mergeCell ref="M16:N16"/>
    <mergeCell ref="M17:N17"/>
    <mergeCell ref="M18:N18"/>
  </mergeCells>
  <dataValidations disablePrompts="1" count="2">
    <dataValidation type="list" allowBlank="1" showInputMessage="1" showErrorMessage="1" sqref="B3">
      <formula1>article</formula1>
    </dataValidation>
    <dataValidation type="list" allowBlank="1" showInputMessage="1" showErrorMessage="1" sqref="B14">
      <formula1>facturation</formula1>
    </dataValidation>
  </dataValidations>
  <pageMargins left="0.11811023622047245" right="0.11811023622047245" top="0.19685039370078741" bottom="0.19685039370078741" header="0.51181102362204722" footer="0.18"/>
  <pageSetup paperSize="9" scale="67" orientation="landscape" r:id="rId1"/>
  <headerFooter alignWithMargins="0">
    <oddFooter>&amp;LP. Delaborde, &amp;D&amp;R&amp;Z&amp;F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M32" sqref="M32"/>
    </sheetView>
  </sheetViews>
  <sheetFormatPr baseColWidth="10" defaultRowHeight="12.75" x14ac:dyDescent="0.2"/>
  <sheetData>
    <row r="2" spans="1:1" x14ac:dyDescent="0.2">
      <c r="A2" t="s">
        <v>67</v>
      </c>
    </row>
  </sheetData>
  <phoneticPr fontId="2" type="noConversion"/>
  <pageMargins left="0.78740157499999996" right="0.27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13</vt:i4>
      </vt:variant>
    </vt:vector>
  </HeadingPairs>
  <TitlesOfParts>
    <vt:vector size="17" baseType="lpstr">
      <vt:lpstr>Paramètres</vt:lpstr>
      <vt:lpstr>Modèle</vt:lpstr>
      <vt:lpstr>Rond 52</vt:lpstr>
      <vt:lpstr>Transports</vt:lpstr>
      <vt:lpstr>article</vt:lpstr>
      <vt:lpstr>Modèle!ctmatiere</vt:lpstr>
      <vt:lpstr>'Rond 52'!ctmatiere</vt:lpstr>
      <vt:lpstr>eurodol</vt:lpstr>
      <vt:lpstr>facturation</vt:lpstr>
      <vt:lpstr>macaj</vt:lpstr>
      <vt:lpstr>macm</vt:lpstr>
      <vt:lpstr>Modèle!majoca</vt:lpstr>
      <vt:lpstr>'Rond 52'!majoca</vt:lpstr>
      <vt:lpstr>MPS</vt:lpstr>
      <vt:lpstr>Modèle!pdslivré</vt:lpstr>
      <vt:lpstr>'Rond 52'!pdslivré</vt:lpstr>
      <vt:lpstr>pentree</vt:lpstr>
    </vt:vector>
  </TitlesOfParts>
  <Company>Aubert &amp; Duval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Devis Stainless</dc:title>
  <dc:creator>Patrick DELABORDE</dc:creator>
  <cp:lastModifiedBy>Patrick Delaborde</cp:lastModifiedBy>
  <cp:lastPrinted>2012-12-19T17:17:09Z</cp:lastPrinted>
  <dcterms:created xsi:type="dcterms:W3CDTF">2010-05-04T15:23:20Z</dcterms:created>
  <dcterms:modified xsi:type="dcterms:W3CDTF">2014-06-17T13:15:14Z</dcterms:modified>
</cp:coreProperties>
</file>