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hamster\Downloads\"/>
    </mc:Choice>
  </mc:AlternateContent>
  <workbookProtection workbookPassword="E31B" lockStructure="1"/>
  <bookViews>
    <workbookView xWindow="0" yWindow="0" windowWidth="19200" windowHeight="7350" tabRatio="789" activeTab="1"/>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48" i="6"/>
  <c r="B43" i="6"/>
  <c r="B38" i="6"/>
  <c r="B33" i="6"/>
  <c r="B28" i="6"/>
  <c r="B23" i="6"/>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c r="B59" i="6"/>
  <c r="G59" i="6" s="1"/>
  <c r="B58" i="6"/>
  <c r="G58" i="6"/>
  <c r="B56" i="6"/>
  <c r="G56" i="6" s="1"/>
  <c r="B55" i="6"/>
  <c r="G55" i="6"/>
  <c r="B54" i="6"/>
  <c r="G54" i="6" s="1"/>
  <c r="B53" i="6"/>
  <c r="G53" i="6"/>
  <c r="B50" i="6"/>
  <c r="G50" i="6" s="1"/>
  <c r="H14" i="6"/>
  <c r="H61" i="4"/>
  <c r="B86" i="4"/>
  <c r="F23" i="6"/>
  <c r="J16" i="6" l="1"/>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C10" i="6" s="1"/>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C11" i="6" s="1"/>
  <c r="D4" i="8"/>
  <c r="B8" i="4"/>
  <c r="A4" i="6" s="1"/>
  <c r="C29" i="3"/>
  <c r="G3" i="5"/>
  <c r="A1" i="6"/>
  <c r="I9" i="6"/>
  <c r="K4" i="5"/>
  <c r="Q4" i="5"/>
  <c r="D4" i="5"/>
  <c r="J41" i="6"/>
  <c r="J52" i="6"/>
  <c r="J55" i="6"/>
  <c r="C3" i="6"/>
  <c r="J8" i="6"/>
  <c r="C8" i="6" s="1"/>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C7" i="6" s="1"/>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C13" i="6" s="1"/>
  <c r="A72" i="2"/>
  <c r="B12" i="4"/>
  <c r="A19" i="2"/>
  <c r="I7" i="6"/>
  <c r="B3" i="6"/>
  <c r="I33" i="6"/>
  <c r="B25" i="4"/>
  <c r="A14" i="6" s="1"/>
  <c r="M4" i="5"/>
  <c r="J56" i="6"/>
  <c r="J26" i="6"/>
  <c r="J5" i="6"/>
  <c r="C5" i="6" s="1"/>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R2110" i="5" l="1"/>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H25" i="6" s="1"/>
  <c r="C25" i="6" s="1"/>
  <c r="F25" i="6"/>
  <c r="B40" i="6"/>
  <c r="G40" i="6" s="1"/>
  <c r="F26" i="6"/>
  <c r="B30" i="6"/>
  <c r="G30" i="6" s="1"/>
  <c r="F41" i="6"/>
  <c r="B41" i="6"/>
  <c r="F63" i="6"/>
  <c r="F36" i="6"/>
  <c r="G21" i="6"/>
  <c r="H21" i="6" s="1"/>
  <c r="B26" i="6"/>
  <c r="B36" i="6"/>
  <c r="B46" i="6"/>
  <c r="G46" i="6" s="1"/>
  <c r="G31" i="6"/>
  <c r="H22" i="6"/>
  <c r="D22" i="6" s="1"/>
  <c r="G47" i="6"/>
  <c r="G42" i="6"/>
  <c r="G26" i="6"/>
  <c r="H26" i="6" s="1"/>
  <c r="C26" i="6" s="1"/>
  <c r="K65" i="6"/>
  <c r="C65" i="6" s="1"/>
  <c r="G27" i="6"/>
  <c r="G32" i="6"/>
  <c r="G43" i="6"/>
  <c r="G38" i="6"/>
  <c r="G35" i="6"/>
  <c r="G28" i="6"/>
  <c r="G33" i="6"/>
  <c r="G41" i="6"/>
  <c r="H41" i="6" s="1"/>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D25" i="6" l="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H31" i="6"/>
  <c r="D31" i="6" s="1"/>
  <c r="F46" i="6"/>
  <c r="H46" i="6" s="1"/>
  <c r="F31" i="6"/>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5" i="6" l="1"/>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<sst xmlns="http://schemas.openxmlformats.org/spreadsheetml/2006/main" count="21582" uniqueCount="15494">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</sst>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53"/>
      <c r="B2" s="38" t="s">
        <v>963</v>
      </c>
      <c r="C2" s="36"/>
      <c r="D2" s="207"/>
      <c r="E2" s="3"/>
      <c r="F2" s="36"/>
      <c r="G2" s="34"/>
    </row>
    <row r="3" spans="1:7">
      <c r="A3" s="353"/>
      <c r="B3" s="5" t="s">
        <v>952</v>
      </c>
      <c r="C3" s="6"/>
      <c r="D3" s="208"/>
      <c r="E3" s="3"/>
      <c r="F3" s="6"/>
      <c r="G3" s="34"/>
    </row>
    <row r="4" spans="1:7" ht="15">
      <c r="A4" s="353"/>
      <c r="B4" s="41" t="s">
        <v>965</v>
      </c>
      <c r="C4" s="7"/>
      <c r="D4" s="209"/>
      <c r="E4" s="3"/>
      <c r="F4" s="7"/>
      <c r="G4" s="34"/>
    </row>
    <row r="5" spans="1:7">
      <c r="A5" s="353"/>
      <c r="B5" s="40" t="s">
        <v>1157</v>
      </c>
      <c r="C5" s="4"/>
      <c r="D5" s="210"/>
      <c r="E5" s="3"/>
      <c r="F5" s="4"/>
      <c r="G5" s="34"/>
    </row>
    <row r="6" spans="1:7">
      <c r="A6" s="353"/>
      <c r="B6" s="8"/>
      <c r="C6" s="8"/>
      <c r="D6" s="211"/>
      <c r="E6" s="8"/>
      <c r="F6" s="8"/>
      <c r="G6" s="34"/>
    </row>
    <row r="7" spans="1:7">
      <c r="A7" s="353"/>
      <c r="B7" s="8"/>
      <c r="C7" s="8"/>
      <c r="D7" s="211"/>
      <c r="E7" s="8"/>
      <c r="F7" s="8"/>
      <c r="G7" s="34"/>
    </row>
    <row r="8" spans="1:7">
      <c r="A8" s="353"/>
      <c r="B8" s="8"/>
      <c r="C8" s="8"/>
      <c r="D8" s="211"/>
      <c r="E8" s="8"/>
      <c r="F8" s="8"/>
      <c r="G8" s="34"/>
    </row>
    <row r="9" spans="1:7">
      <c r="A9" s="353"/>
      <c r="B9" s="356" t="s">
        <v>966</v>
      </c>
      <c r="C9" s="356"/>
      <c r="D9" s="356"/>
      <c r="E9" s="356"/>
      <c r="F9" s="356"/>
      <c r="G9" s="34"/>
    </row>
    <row r="10" spans="1:7" ht="27" customHeight="1">
      <c r="A10" s="353"/>
      <c r="B10" s="357" t="s">
        <v>506</v>
      </c>
      <c r="C10" s="357"/>
      <c r="D10" s="357"/>
      <c r="E10" s="357"/>
      <c r="F10" s="357"/>
      <c r="G10" s="34"/>
    </row>
    <row r="11" spans="1:7" ht="27" customHeight="1">
      <c r="A11" s="353"/>
      <c r="B11" s="358"/>
      <c r="C11" s="358"/>
      <c r="D11" s="358"/>
      <c r="E11" s="358"/>
      <c r="F11" s="358"/>
      <c r="G11" s="34"/>
    </row>
    <row r="12" spans="1:7">
      <c r="A12" s="353"/>
      <c r="B12" s="42" t="s">
        <v>964</v>
      </c>
      <c r="C12" s="43" t="s">
        <v>967</v>
      </c>
      <c r="D12" s="212" t="s">
        <v>968</v>
      </c>
      <c r="E12" s="43" t="s">
        <v>701</v>
      </c>
      <c r="F12" s="43" t="s">
        <v>702</v>
      </c>
      <c r="G12" s="34"/>
    </row>
    <row r="13" spans="1:7" ht="20">
      <c r="A13" s="353"/>
      <c r="B13" s="2">
        <v>1</v>
      </c>
      <c r="C13" s="37" t="s">
        <v>1208</v>
      </c>
      <c r="D13" s="39" t="s">
        <v>992</v>
      </c>
      <c r="E13" s="196" t="s">
        <v>969</v>
      </c>
      <c r="F13" s="196"/>
      <c r="G13" s="34"/>
    </row>
    <row r="14" spans="1:7" ht="30">
      <c r="A14" s="353"/>
      <c r="B14" s="2">
        <v>2</v>
      </c>
      <c r="C14" s="37" t="s">
        <v>1208</v>
      </c>
      <c r="D14" s="39" t="s">
        <v>1142</v>
      </c>
      <c r="E14" s="196" t="s">
        <v>602</v>
      </c>
      <c r="F14" s="196" t="s">
        <v>603</v>
      </c>
      <c r="G14" s="34"/>
    </row>
    <row r="15" spans="1:7" ht="89.15" customHeight="1">
      <c r="A15" s="353"/>
      <c r="B15" s="359">
        <v>2.0099999999999998</v>
      </c>
      <c r="C15" s="350" t="s">
        <v>1208</v>
      </c>
      <c r="D15" s="362" t="s">
        <v>2686</v>
      </c>
      <c r="E15" s="197" t="s">
        <v>703</v>
      </c>
      <c r="F15" s="197" t="s">
        <v>706</v>
      </c>
      <c r="G15" s="34"/>
    </row>
    <row r="16" spans="1:7" ht="99" customHeight="1">
      <c r="A16" s="353"/>
      <c r="B16" s="360"/>
      <c r="C16" s="351"/>
      <c r="D16" s="363"/>
      <c r="E16" s="198"/>
      <c r="F16" s="198" t="s">
        <v>704</v>
      </c>
      <c r="G16" s="34"/>
    </row>
    <row r="17" spans="1:7" ht="63" customHeight="1">
      <c r="A17" s="353"/>
      <c r="B17" s="361"/>
      <c r="C17" s="352"/>
      <c r="D17" s="364"/>
      <c r="E17" s="37"/>
      <c r="F17" s="37" t="s">
        <v>705</v>
      </c>
      <c r="G17" s="34"/>
    </row>
    <row r="18" spans="1:7" ht="117" customHeight="1">
      <c r="A18" s="353"/>
      <c r="B18" s="359">
        <v>2.02</v>
      </c>
      <c r="C18" s="350" t="s">
        <v>1208</v>
      </c>
      <c r="D18" s="362" t="s">
        <v>2687</v>
      </c>
      <c r="E18" s="197" t="s">
        <v>507</v>
      </c>
      <c r="F18" s="197" t="s">
        <v>596</v>
      </c>
      <c r="G18" s="34"/>
    </row>
    <row r="19" spans="1:7" ht="71.150000000000006" customHeight="1">
      <c r="A19" s="353"/>
      <c r="B19" s="360"/>
      <c r="C19" s="351"/>
      <c r="D19" s="363"/>
      <c r="E19" s="198" t="s">
        <v>601</v>
      </c>
      <c r="F19" s="198" t="s">
        <v>508</v>
      </c>
      <c r="G19" s="34"/>
    </row>
    <row r="20" spans="1:7" ht="90.75" customHeight="1">
      <c r="A20" s="353"/>
      <c r="B20" s="360"/>
      <c r="C20" s="351"/>
      <c r="D20" s="363"/>
      <c r="E20" s="198"/>
      <c r="F20" s="198" t="s">
        <v>708</v>
      </c>
      <c r="G20" s="34"/>
    </row>
    <row r="21" spans="1:7" ht="74.25" customHeight="1">
      <c r="A21" s="353"/>
      <c r="B21" s="361"/>
      <c r="C21" s="352"/>
      <c r="D21" s="364"/>
      <c r="E21" s="37"/>
      <c r="F21" s="37" t="s">
        <v>707</v>
      </c>
      <c r="G21" s="34"/>
    </row>
    <row r="22" spans="1:7" ht="90" customHeight="1">
      <c r="A22" s="353"/>
      <c r="B22" s="368">
        <v>2.0299999999999998</v>
      </c>
      <c r="C22" s="368" t="s">
        <v>935</v>
      </c>
      <c r="D22" s="347" t="s">
        <v>2688</v>
      </c>
      <c r="E22" s="350" t="s">
        <v>505</v>
      </c>
      <c r="F22" s="197" t="s">
        <v>529</v>
      </c>
      <c r="G22" s="34"/>
    </row>
    <row r="23" spans="1:7" ht="109.5" customHeight="1">
      <c r="A23" s="353"/>
      <c r="B23" s="369"/>
      <c r="C23" s="369"/>
      <c r="D23" s="348"/>
      <c r="E23" s="351"/>
      <c r="F23" s="198" t="s">
        <v>936</v>
      </c>
      <c r="G23" s="34"/>
    </row>
    <row r="24" spans="1:7" ht="74.25" customHeight="1">
      <c r="A24" s="353"/>
      <c r="B24" s="370"/>
      <c r="C24" s="370"/>
      <c r="D24" s="349"/>
      <c r="E24" s="352"/>
      <c r="F24" s="37" t="s">
        <v>504</v>
      </c>
      <c r="G24" s="34"/>
    </row>
    <row r="25" spans="1:7" ht="72" customHeight="1">
      <c r="A25" s="353"/>
      <c r="B25" s="2" t="s">
        <v>527</v>
      </c>
      <c r="C25" s="37" t="s">
        <v>528</v>
      </c>
      <c r="D25" s="39" t="s">
        <v>2689</v>
      </c>
      <c r="E25" s="37" t="s">
        <v>2682</v>
      </c>
      <c r="F25" s="37" t="s">
        <v>530</v>
      </c>
      <c r="G25" s="34"/>
    </row>
    <row r="26" spans="1:7" ht="98.15" customHeight="1">
      <c r="A26" s="353"/>
      <c r="B26" s="365">
        <v>3</v>
      </c>
      <c r="C26" s="359" t="s">
        <v>74</v>
      </c>
      <c r="D26" s="362" t="s">
        <v>2690</v>
      </c>
      <c r="E26" s="350" t="s">
        <v>0</v>
      </c>
      <c r="F26" s="197" t="s">
        <v>68</v>
      </c>
      <c r="G26" s="34"/>
    </row>
    <row r="27" spans="1:7" ht="90" customHeight="1">
      <c r="A27" s="353"/>
      <c r="B27" s="366"/>
      <c r="C27" s="360"/>
      <c r="D27" s="363"/>
      <c r="E27" s="351"/>
      <c r="F27" s="198" t="s">
        <v>63</v>
      </c>
      <c r="G27" s="34"/>
    </row>
    <row r="28" spans="1:7" ht="19.399999999999999" customHeight="1">
      <c r="A28" s="353"/>
      <c r="B28" s="366"/>
      <c r="C28" s="360"/>
      <c r="D28" s="363"/>
      <c r="E28" s="351"/>
      <c r="F28" s="198" t="s">
        <v>64</v>
      </c>
      <c r="G28" s="34"/>
    </row>
    <row r="29" spans="1:7" ht="74.5" customHeight="1">
      <c r="A29" s="353"/>
      <c r="B29" s="366"/>
      <c r="C29" s="360"/>
      <c r="D29" s="363"/>
      <c r="E29" s="351"/>
      <c r="F29" s="198" t="s">
        <v>65</v>
      </c>
      <c r="G29" s="34"/>
    </row>
    <row r="30" spans="1:7" ht="62.5" customHeight="1">
      <c r="A30" s="353"/>
      <c r="B30" s="366"/>
      <c r="C30" s="360"/>
      <c r="D30" s="363"/>
      <c r="E30" s="351"/>
      <c r="F30" s="198" t="s">
        <v>66</v>
      </c>
      <c r="G30" s="34"/>
    </row>
    <row r="31" spans="1:7" ht="81" customHeight="1">
      <c r="A31" s="353"/>
      <c r="B31" s="366"/>
      <c r="C31" s="360"/>
      <c r="D31" s="363"/>
      <c r="E31" s="351"/>
      <c r="F31" s="198" t="s">
        <v>67</v>
      </c>
      <c r="G31" s="34"/>
    </row>
    <row r="32" spans="1:7" ht="48.75" customHeight="1">
      <c r="A32" s="353"/>
      <c r="B32" s="366"/>
      <c r="C32" s="360"/>
      <c r="D32" s="363"/>
      <c r="E32" s="351"/>
      <c r="F32" s="198" t="s">
        <v>70</v>
      </c>
      <c r="G32" s="34"/>
    </row>
    <row r="33" spans="1:7" ht="98.5" customHeight="1">
      <c r="A33" s="353"/>
      <c r="B33" s="366"/>
      <c r="C33" s="360"/>
      <c r="D33" s="363"/>
      <c r="E33" s="351"/>
      <c r="F33" s="198" t="s">
        <v>69</v>
      </c>
      <c r="G33" s="34"/>
    </row>
    <row r="34" spans="1:7" ht="89.15" customHeight="1">
      <c r="A34" s="353"/>
      <c r="B34" s="366"/>
      <c r="C34" s="360"/>
      <c r="D34" s="363"/>
      <c r="E34" s="351"/>
      <c r="F34" s="198" t="s">
        <v>71</v>
      </c>
      <c r="G34" s="34"/>
    </row>
    <row r="35" spans="1:7" ht="29.15" customHeight="1">
      <c r="A35" s="353"/>
      <c r="B35" s="366"/>
      <c r="C35" s="360"/>
      <c r="D35" s="363"/>
      <c r="E35" s="351"/>
      <c r="F35" s="198" t="s">
        <v>72</v>
      </c>
      <c r="G35" s="34"/>
    </row>
    <row r="36" spans="1:7" ht="111">
      <c r="A36" s="353"/>
      <c r="B36" s="367"/>
      <c r="C36" s="361"/>
      <c r="D36" s="364"/>
      <c r="E36" s="352"/>
      <c r="F36" s="199" t="s">
        <v>73</v>
      </c>
      <c r="G36" s="34"/>
    </row>
    <row r="37" spans="1:7" ht="100">
      <c r="A37" s="353"/>
      <c r="B37" s="175">
        <v>3.01</v>
      </c>
      <c r="C37" s="176" t="s">
        <v>74</v>
      </c>
      <c r="D37" s="39" t="s">
        <v>2691</v>
      </c>
      <c r="E37" s="200" t="s">
        <v>1458</v>
      </c>
      <c r="F37" s="201" t="s">
        <v>1577</v>
      </c>
      <c r="G37" s="34"/>
    </row>
    <row r="38" spans="1:7" ht="90">
      <c r="A38" s="353"/>
      <c r="B38" s="175">
        <v>3.02</v>
      </c>
      <c r="C38" s="176" t="s">
        <v>1492</v>
      </c>
      <c r="D38" s="39" t="s">
        <v>2692</v>
      </c>
      <c r="E38" s="200" t="s">
        <v>1507</v>
      </c>
      <c r="F38" s="201" t="s">
        <v>1578</v>
      </c>
      <c r="G38" s="34"/>
    </row>
    <row r="39" spans="1:7" ht="80">
      <c r="A39" s="353"/>
      <c r="B39" s="184">
        <v>4</v>
      </c>
      <c r="C39" s="183" t="s">
        <v>1757</v>
      </c>
      <c r="D39" s="39" t="s">
        <v>2693</v>
      </c>
      <c r="E39" s="37" t="s">
        <v>2625</v>
      </c>
      <c r="F39" s="37" t="s">
        <v>1758</v>
      </c>
      <c r="G39" s="34"/>
    </row>
    <row r="40" spans="1:7" ht="50">
      <c r="A40" s="353"/>
      <c r="B40" s="175">
        <v>4.01</v>
      </c>
      <c r="C40" s="183" t="s">
        <v>1757</v>
      </c>
      <c r="D40" s="39" t="s">
        <v>2695</v>
      </c>
      <c r="E40" s="37" t="s">
        <v>2644</v>
      </c>
      <c r="F40" s="37" t="s">
        <v>2649</v>
      </c>
      <c r="G40" s="34"/>
    </row>
    <row r="41" spans="1:7" ht="50">
      <c r="A41" s="353"/>
      <c r="B41" s="175" t="s">
        <v>2680</v>
      </c>
      <c r="C41" s="183" t="s">
        <v>1757</v>
      </c>
      <c r="D41" s="39" t="s">
        <v>2694</v>
      </c>
      <c r="E41" s="37" t="s">
        <v>2683</v>
      </c>
      <c r="F41" s="37" t="s">
        <v>2681</v>
      </c>
      <c r="G41" s="34"/>
    </row>
    <row r="42" spans="1:7" ht="50">
      <c r="A42" s="353"/>
      <c r="B42" s="175" t="s">
        <v>2732</v>
      </c>
      <c r="C42" s="183" t="s">
        <v>1757</v>
      </c>
      <c r="D42" s="39" t="s">
        <v>2903</v>
      </c>
      <c r="E42" s="37" t="s">
        <v>2682</v>
      </c>
      <c r="F42" s="37" t="s">
        <v>2733</v>
      </c>
      <c r="G42" s="34"/>
    </row>
    <row r="43" spans="1:7" ht="110">
      <c r="A43" s="353"/>
      <c r="B43" s="193">
        <v>4.0999999999999996</v>
      </c>
      <c r="C43" s="183" t="s">
        <v>2902</v>
      </c>
      <c r="D43" s="194">
        <v>42867</v>
      </c>
      <c r="E43" s="202" t="s">
        <v>2905</v>
      </c>
      <c r="F43" s="37" t="s">
        <v>2904</v>
      </c>
      <c r="G43" s="34"/>
    </row>
    <row r="44" spans="1:7" ht="70">
      <c r="A44" s="353"/>
      <c r="B44" s="193">
        <v>4.2</v>
      </c>
      <c r="C44" s="183" t="s">
        <v>2902</v>
      </c>
      <c r="D44" s="194">
        <v>42704</v>
      </c>
      <c r="E44" s="202" t="s">
        <v>3155</v>
      </c>
      <c r="F44" s="37" t="s">
        <v>3120</v>
      </c>
      <c r="G44" s="34"/>
    </row>
    <row r="45" spans="1:7" ht="130">
      <c r="A45" s="353"/>
      <c r="B45" s="241">
        <v>5</v>
      </c>
      <c r="C45" s="183" t="s">
        <v>2902</v>
      </c>
      <c r="D45" s="194">
        <v>42867</v>
      </c>
      <c r="E45" s="202" t="s">
        <v>13730</v>
      </c>
      <c r="F45" s="37" t="s">
        <v>13315</v>
      </c>
      <c r="G45" s="34"/>
    </row>
    <row r="46" spans="1:7" ht="30">
      <c r="A46" s="353"/>
      <c r="B46" s="193">
        <v>5.01</v>
      </c>
      <c r="C46" s="183" t="s">
        <v>2902</v>
      </c>
      <c r="D46" s="194">
        <v>42907</v>
      </c>
      <c r="E46" s="202" t="s">
        <v>13786</v>
      </c>
      <c r="F46" s="37" t="s">
        <v>13315</v>
      </c>
      <c r="G46" s="34"/>
    </row>
    <row r="47" spans="1:7" ht="60">
      <c r="A47" s="353"/>
      <c r="B47" s="193">
        <v>5.0999999999999996</v>
      </c>
      <c r="C47" s="183" t="s">
        <v>2902</v>
      </c>
      <c r="D47" s="194">
        <v>43070</v>
      </c>
      <c r="E47" s="202" t="s">
        <v>13985</v>
      </c>
      <c r="F47" s="37" t="s">
        <v>13986</v>
      </c>
      <c r="G47" s="34"/>
    </row>
    <row r="48" spans="1:7" ht="50">
      <c r="A48" s="353"/>
      <c r="B48" s="193">
        <v>5.1100000000000003</v>
      </c>
      <c r="C48" s="183" t="s">
        <v>14260</v>
      </c>
      <c r="D48" s="194">
        <v>43217</v>
      </c>
      <c r="E48" s="202" t="s">
        <v>14404</v>
      </c>
      <c r="F48" s="37" t="s">
        <v>14299</v>
      </c>
      <c r="G48" s="34"/>
    </row>
    <row r="49" spans="1:7" ht="50">
      <c r="A49" s="353"/>
      <c r="B49" s="193">
        <v>5.12</v>
      </c>
      <c r="C49" s="183" t="s">
        <v>14260</v>
      </c>
      <c r="D49" s="194">
        <v>43581</v>
      </c>
      <c r="E49" s="202" t="s">
        <v>14404</v>
      </c>
      <c r="F49" s="37" t="s">
        <v>15467</v>
      </c>
      <c r="G49" s="34"/>
    </row>
    <row r="50" spans="1:7" ht="14" thickBot="1">
      <c r="A50" s="354"/>
      <c r="B50" s="355" t="str">
        <f ca="1">OFFSET(L!$C$1,MATCH("General"&amp;"Cpy",L!$A:$A,0)-1,SL,,)</f>
        <v>© 2019 Responsible Minerals Initiative. All rights reserved.</v>
      </c>
      <c r="C50" s="355"/>
      <c r="D50" s="355"/>
      <c r="E50" s="355"/>
      <c r="F50" s="355"/>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4375" defaultRowHeight="13.5"/>
  <cols>
    <col min="1" max="1" width="11.07421875" customWidth="1"/>
    <col min="2" max="2" width="25.69140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abSelected="1"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60">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4" thickBot="1">
      <c r="A32" s="91"/>
      <c r="B32" s="187"/>
      <c r="C32" s="187"/>
      <c r="D32" s="376"/>
    </row>
    <row r="33" ht="14"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zoomScaleNormal="100"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02"/>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11"/>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15" t="str">
        <f ca="1">OFFSET(L!$C$1,MATCH("Declaration"&amp;ADDRESS(ROW(),COLUMN(),4)&amp;LEFT($D$9,1),L!$A:$A,0)-1,SL,,)</f>
        <v>Description of Scope:</v>
      </c>
      <c r="C10" s="155"/>
      <c r="D10" s="406"/>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16"/>
      <c r="C11" s="155"/>
      <c r="D11" s="425" t="str">
        <f ca="1">IF(D9=Q9,OFFSET(L!$C$1,MATCH("Declaration"&amp;ADDRESS(ROW(),COLUMN(),4),L!$A:$A,0)-1,SL,,),"")</f>
        <v/>
      </c>
      <c r="E11" s="426"/>
      <c r="F11" s="426"/>
      <c r="G11" s="426"/>
      <c r="H11" s="426"/>
      <c r="I11" s="426"/>
      <c r="J11" s="42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385"/>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385"/>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385"/>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385"/>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417"/>
      <c r="E16" s="418"/>
      <c r="F16" s="418"/>
      <c r="G16" s="418"/>
      <c r="H16" s="418"/>
      <c r="I16" s="418"/>
      <c r="J16" s="41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385"/>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385"/>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385"/>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17"/>
      <c r="E20" s="418"/>
      <c r="F20" s="418"/>
      <c r="G20" s="418"/>
      <c r="H20" s="418"/>
      <c r="I20" s="418"/>
      <c r="J20" s="41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385"/>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388"/>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22"/>
      <c r="E23" s="42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23" t="str">
        <f ca="1">OFFSET(L!$C$1,MATCH("Declaration"&amp;ADDRESS(ROW(),COLUMN(),4),L!$A:$A,0)-1,SL,,)</f>
        <v>Answer</v>
      </c>
      <c r="E25" s="42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77"/>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7"/>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7"/>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7"/>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1"/>
      <c r="I37" s="421"/>
      <c r="J37" s="421"/>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77"/>
      <c r="E38" s="378"/>
      <c r="F38" s="58"/>
      <c r="G38" s="379"/>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7"/>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7"/>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77"/>
      <c r="E41" s="378"/>
      <c r="F41" s="58"/>
      <c r="G41" s="379"/>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382"/>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382"/>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20"/>
      <c r="I55" s="420"/>
      <c r="J55" s="42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20" t="str">
        <f>IF(Q69="(*)","Click here to enter smelter names","")</f>
        <v/>
      </c>
      <c r="I61" s="420"/>
      <c r="J61" s="42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4" t="str">
        <f ca="1">OFFSET(L!$C$1,MATCH("Declaration"&amp;ADDRESS(ROW(),COLUMN(),4),L!$A:$A,0)-1,SL,,)</f>
        <v>Answer the Following Questions at a Company Level</v>
      </c>
      <c r="C67" s="434"/>
      <c r="D67" s="434"/>
      <c r="E67" s="434"/>
      <c r="F67" s="434"/>
      <c r="G67" s="434"/>
      <c r="H67" s="434"/>
      <c r="I67" s="434"/>
      <c r="J67" s="43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23" t="str">
        <f ca="1">D25</f>
        <v>Answer</v>
      </c>
      <c r="E68" s="423"/>
      <c r="F68" s="64"/>
      <c r="G68" s="423" t="str">
        <f ca="1">G25</f>
        <v>Comments</v>
      </c>
      <c r="H68" s="423" t="e">
        <f>HLOOKUP(SL,LT,$O68,0)</f>
        <v>#NAME?</v>
      </c>
      <c r="I68" s="42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424"/>
      <c r="H70" s="424"/>
      <c r="I70" s="424"/>
      <c r="J70" s="42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377"/>
      <c r="E71" s="378"/>
      <c r="F71" s="68"/>
      <c r="G71" s="393"/>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1"/>
      <c r="E79" s="432"/>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424"/>
      <c r="H80" s="424"/>
      <c r="I80" s="424"/>
      <c r="J80" s="42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377"/>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433"/>
      <c r="H82" s="433"/>
      <c r="I82" s="433"/>
      <c r="J82" s="43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0" t="str">
        <f>IF(OR($D$8="",$I$3=""),"","Click here to check required fields completion")</f>
        <v/>
      </c>
      <c r="C86" s="430"/>
      <c r="D86" s="430"/>
      <c r="E86" s="430"/>
      <c r="F86" s="430"/>
      <c r="G86" s="430"/>
      <c r="H86" s="430"/>
      <c r="I86" s="430"/>
      <c r="J86" s="43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428" t="str">
        <f ca="1">OFFSET(L!$C$1,MATCH("General"&amp;"Cpy",L!$A:$A,0)-1,SL,,)</f>
        <v>© 2019 Responsible Minerals Initiative. All rights reserved.</v>
      </c>
      <c r="B87" s="429"/>
      <c r="C87" s="429"/>
      <c r="D87" s="429"/>
      <c r="E87" s="429"/>
      <c r="F87" s="429"/>
      <c r="G87" s="429"/>
      <c r="H87" s="429"/>
      <c r="I87" s="429"/>
      <c r="J87" s="42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4375" defaultRowHeight="13.5"/>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5"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4"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4"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f ca="1">IF(H67=0,"0",H67)</f>
        <v>50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f>Declaration!D8</f>
        <v>0</v>
      </c>
      <c r="C4" s="105" t="str">
        <f t="shared" ref="C4:C9" ca="1" si="0">IF(H4=1,J4,I4)</f>
        <v>Provide your company name on the Declaration tab cell D8</v>
      </c>
      <c r="D4" s="111" t="str">
        <f>IF(H4=1,"Click here to enter Company Name","")</f>
        <v>Click here to enter Company Name</v>
      </c>
      <c r="E4" s="87" t="s">
        <v>1437</v>
      </c>
      <c r="F4" s="109">
        <v>1</v>
      </c>
      <c r="G4" s="84">
        <f t="shared" ref="G4:G9" si="1">IF(B4=0,1,0)</f>
        <v>1</v>
      </c>
      <c r="H4" s="85">
        <f>F4*G4</f>
        <v>1</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f>Declaration!D9</f>
        <v>0</v>
      </c>
      <c r="C5" s="105" t="str">
        <f t="shared" ca="1" si="0"/>
        <v>Select the scope of declaration on the Declaration tab cell D9</v>
      </c>
      <c r="D5" s="111" t="str">
        <f>IF(H5=1,"Click here to enter Declaration Scope","")</f>
        <v>Click here to enter Declaration Scope</v>
      </c>
      <c r="E5" s="87" t="s">
        <v>1437</v>
      </c>
      <c r="F5" s="109">
        <v>1</v>
      </c>
      <c r="G5" s="84">
        <f t="shared" si="1"/>
        <v>1</v>
      </c>
      <c r="H5" s="85">
        <f t="shared" ref="H5:H23" si="2">F5*G5</f>
        <v>1</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f>Declaration!D15</f>
        <v>0</v>
      </c>
      <c r="C7" s="105" t="str">
        <f t="shared" ca="1" si="0"/>
        <v>Provide contact name in Declaration tab cell D15</v>
      </c>
      <c r="D7" s="111" t="str">
        <f>IF(H7=1,"Click here to enter Contact Name","")</f>
        <v>Click here to enter Contact Name</v>
      </c>
      <c r="E7" s="87" t="s">
        <v>1437</v>
      </c>
      <c r="F7" s="153">
        <v>1</v>
      </c>
      <c r="G7" s="84">
        <f t="shared" si="1"/>
        <v>1</v>
      </c>
      <c r="H7" s="85">
        <f t="shared" si="2"/>
        <v>1</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f>Declaration!D16</f>
        <v>0</v>
      </c>
      <c r="C8" s="105" t="str">
        <f t="shared" ca="1" si="0"/>
        <v>Provide a valid email for contact in Declaration tab cell D16</v>
      </c>
      <c r="D8" s="111" t="str">
        <f>IF(H8=1,"Click here to enter Email-Contact","")</f>
        <v>Click here to enter Email-Contact</v>
      </c>
      <c r="E8" s="87" t="s">
        <v>1437</v>
      </c>
      <c r="F8" s="153">
        <v>1</v>
      </c>
      <c r="G8" s="84">
        <f>IF(ISNUMBER(SEARCH("@",B8)),0,1)</f>
        <v>1</v>
      </c>
      <c r="H8" s="85">
        <f t="shared" si="2"/>
        <v>1</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f>Declaration!D17</f>
        <v>0</v>
      </c>
      <c r="C9" s="105" t="str">
        <f t="shared" ca="1" si="0"/>
        <v>Provide a phone number for contact in Declaration tab cell D17</v>
      </c>
      <c r="D9" s="111" t="str">
        <f>IF(H9=1,"Click here to enter Phone-Contact","")</f>
        <v>Click here to enter Phone-Contact</v>
      </c>
      <c r="E9" s="87" t="s">
        <v>1437</v>
      </c>
      <c r="F9" s="153">
        <v>1</v>
      </c>
      <c r="G9" s="84">
        <f t="shared" si="1"/>
        <v>1</v>
      </c>
      <c r="H9" s="85">
        <f t="shared" si="2"/>
        <v>1</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f>Declaration!D18</f>
        <v>0</v>
      </c>
      <c r="C10" s="105" t="str">
        <f t="shared" ref="C10:C61" ca="1" si="3">IF(H10=1,J10,I10)</f>
        <v>Provide authorized company representative contact name in Declaration tab cell D18</v>
      </c>
      <c r="D10" s="111" t="str">
        <f>IF(H10=1,"Click here to enter an Authorized Company Representative's name","")</f>
        <v>Click here to enter an Authorized Company Representative's name</v>
      </c>
      <c r="E10" s="87" t="s">
        <v>1437</v>
      </c>
      <c r="F10" s="109">
        <v>1</v>
      </c>
      <c r="G10" s="84">
        <f t="shared" ref="G10:G23" si="4">IF(B10=0,1,0)</f>
        <v>1</v>
      </c>
      <c r="H10" s="85">
        <f t="shared" si="2"/>
        <v>1</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f>Declaration!D20</f>
        <v>0</v>
      </c>
      <c r="C11" s="105" t="str">
        <f t="shared" ca="1" si="3"/>
        <v>Provide an email for authorized company representative on Declaration tab cell D20</v>
      </c>
      <c r="D11" s="111" t="str">
        <f>IF(H11=1,"Click here to enter Representative's email","")</f>
        <v>Click here to enter Representative's email</v>
      </c>
      <c r="E11" s="87" t="s">
        <v>1437</v>
      </c>
      <c r="F11" s="109">
        <v>1</v>
      </c>
      <c r="G11" s="84">
        <f>IF(ISNUMBER(SEARCH("@",B11)),0,1)</f>
        <v>1</v>
      </c>
      <c r="H11" s="85">
        <f t="shared" si="2"/>
        <v>1</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f>Declaration!D21</f>
        <v>0</v>
      </c>
      <c r="C12" s="105" t="str">
        <f ca="1">IF(H12=1,J12,I12)</f>
        <v>Provide a phone number for authorized company representative on Declaration tab cell D21</v>
      </c>
      <c r="D12" s="111" t="str">
        <f>IF(H12=1,"Click here to enter Representative's phone","")</f>
        <v>Click here to enter Representative's phone</v>
      </c>
      <c r="E12" s="87" t="s">
        <v>1437</v>
      </c>
      <c r="F12" s="109">
        <v>1</v>
      </c>
      <c r="G12" s="84">
        <f>IF(B12=0,1,0)</f>
        <v>1</v>
      </c>
      <c r="H12" s="85">
        <f>F12*G12</f>
        <v>1</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0</v>
      </c>
      <c r="C13" s="105" t="str">
        <f t="shared" ca="1" si="3"/>
        <v>Provide date the form was completed on Declaration tab cell D22</v>
      </c>
      <c r="D13" s="111" t="str">
        <f>IF(H13=1,"Click here to enter Date of Completion","")</f>
        <v>Click here to enter Date of Completion</v>
      </c>
      <c r="E13" s="87" t="s">
        <v>1437</v>
      </c>
      <c r="F13" s="109">
        <v>1</v>
      </c>
      <c r="G13" s="84">
        <f t="shared" si="4"/>
        <v>1</v>
      </c>
      <c r="H13" s="85">
        <f t="shared" si="2"/>
        <v>1</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Tantalum  (*)</v>
      </c>
      <c r="B15" s="105">
        <f>Declaration!D26</f>
        <v>0</v>
      </c>
      <c r="C15" s="105" t="str">
        <f t="shared" ca="1" si="3"/>
        <v>Declare if Tantalum is intentionally added to your products on Declaration tab cell D26</v>
      </c>
      <c r="D15" s="111" t="str">
        <f>IF(H15=1,"Click here to answer question 1 for Tantalum","")</f>
        <v>Click here to answer question 1 for Tantalum</v>
      </c>
      <c r="E15" s="87" t="s">
        <v>917</v>
      </c>
      <c r="F15" s="109">
        <v>1</v>
      </c>
      <c r="G15" s="84">
        <f t="shared" si="4"/>
        <v>1</v>
      </c>
      <c r="H15" s="85">
        <f t="shared" si="2"/>
        <v>1</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f>Declaration!D27</f>
        <v>0</v>
      </c>
      <c r="C16" s="105" t="str">
        <f t="shared" ca="1" si="3"/>
        <v>Declare if Tin is intentionally added to your products on Declaration tab cell D27</v>
      </c>
      <c r="D16" s="111" t="str">
        <f>IF(H16=1,"Click here to answer question 1 for Tin","")</f>
        <v>Click here to answer question 1 for Tin</v>
      </c>
      <c r="E16" s="87" t="s">
        <v>918</v>
      </c>
      <c r="F16" s="109">
        <v>1</v>
      </c>
      <c r="G16" s="84">
        <f t="shared" si="4"/>
        <v>1</v>
      </c>
      <c r="H16" s="85">
        <f t="shared" si="2"/>
        <v>1</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f>Declaration!D28</f>
        <v>0</v>
      </c>
      <c r="C17" s="105" t="str">
        <f t="shared" ca="1" si="3"/>
        <v>Declare if Gold is intentionally added to your products on Declaration tab cell D28</v>
      </c>
      <c r="D17" s="111" t="str">
        <f>IF(H17=1,"Click here to answer question 1 for Gold","")</f>
        <v>Click here to answer question 1 for Gold</v>
      </c>
      <c r="E17" s="87" t="s">
        <v>918</v>
      </c>
      <c r="F17" s="109">
        <v>1</v>
      </c>
      <c r="G17" s="84">
        <f t="shared" si="4"/>
        <v>1</v>
      </c>
      <c r="H17" s="85">
        <f t="shared" si="2"/>
        <v>1</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Tungsten  (*)</v>
      </c>
      <c r="B18" s="105">
        <f>Declaration!D29</f>
        <v>0</v>
      </c>
      <c r="C18" s="105" t="str">
        <f t="shared" ca="1" si="3"/>
        <v>Declare if Tungsten is intentionally added to your products on Declaration tab cell D29</v>
      </c>
      <c r="D18" s="111" t="str">
        <f>IF(H18=1,"Click here to answer question 1 for Tungsten","")</f>
        <v>Click here to answer question 1 for Tungsten</v>
      </c>
      <c r="E18" s="87" t="s">
        <v>918</v>
      </c>
      <c r="F18" s="109">
        <v>1</v>
      </c>
      <c r="G18" s="84">
        <f t="shared" si="4"/>
        <v>1</v>
      </c>
      <c r="H18" s="85">
        <f t="shared" si="2"/>
        <v>1</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Tantalum  (*)</v>
      </c>
      <c r="B20" s="105">
        <f>IF($B$15="Yes",Declaration!D32,0)</f>
        <v>0</v>
      </c>
      <c r="C20" s="105" t="str">
        <f t="shared" ca="1" si="3"/>
        <v>Declare if Tantalum is necessary to the production of your products and contained within the finished products declared in Declaration tab cell D32</v>
      </c>
      <c r="D20" s="113" t="str">
        <f>IF(H20=1,"Click here to answer question 2 for Tantalum","")</f>
        <v>Click here to answer question 2 for Tantalum</v>
      </c>
      <c r="E20" s="87" t="s">
        <v>918</v>
      </c>
      <c r="F20" s="110">
        <f>IF(B$15="No",0,1)</f>
        <v>1</v>
      </c>
      <c r="G20" s="84">
        <f t="shared" si="4"/>
        <v>1</v>
      </c>
      <c r="H20" s="85">
        <f t="shared" si="2"/>
        <v>1</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f>IF($B$16="Yes",Declaration!D33,0)</f>
        <v>0</v>
      </c>
      <c r="C21" s="105" t="str">
        <f t="shared" ca="1" si="3"/>
        <v>Declare if Tin is necessary to the production of your products and contained within the finished products declared in Declaration tab cell D33</v>
      </c>
      <c r="D21" s="113" t="str">
        <f>IF(H21=1,"Click here to answer question 2 for Tin","")</f>
        <v>Click here to answer question 2 for Tin</v>
      </c>
      <c r="E21" s="87" t="s">
        <v>918</v>
      </c>
      <c r="F21" s="110">
        <f>IF(B$16="No",0,1)</f>
        <v>1</v>
      </c>
      <c r="G21" s="84">
        <f t="shared" si="4"/>
        <v>1</v>
      </c>
      <c r="H21" s="85">
        <f t="shared" si="2"/>
        <v>1</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f>IF($B$17="Yes",Declaration!D34,0)</f>
        <v>0</v>
      </c>
      <c r="C22" s="105" t="str">
        <f t="shared" ca="1" si="3"/>
        <v>Declare if Gold is necessary to the production of your products and contained within the finished products declared in Declaration tab cell D34</v>
      </c>
      <c r="D22" s="113" t="str">
        <f>IF(H22=1,"Click here to answer question 2 for Gold","")</f>
        <v>Click here to answer question 2 for Gold</v>
      </c>
      <c r="E22" s="87" t="s">
        <v>918</v>
      </c>
      <c r="F22" s="110">
        <f>IF(B$17="No",0,1)</f>
        <v>1</v>
      </c>
      <c r="G22" s="84">
        <f t="shared" si="4"/>
        <v>1</v>
      </c>
      <c r="H22" s="85">
        <f t="shared" si="2"/>
        <v>1</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Tungsten  (*)</v>
      </c>
      <c r="B23" s="105">
        <f>IF($B$18="Yes",Declaration!D35,0)</f>
        <v>0</v>
      </c>
      <c r="C23" s="105" t="str">
        <f t="shared" ca="1" si="3"/>
        <v>Declare if Tungsten is necessary to the production of your products and contained within the finished products declared in Declaration tab cell D35</v>
      </c>
      <c r="D23" s="113" t="str">
        <f>IF(H23=1,"Click here to answer question 2 for Tungsten","")</f>
        <v>Click here to answer question 2 for Tungsten</v>
      </c>
      <c r="E23" s="87" t="s">
        <v>918</v>
      </c>
      <c r="F23" s="110">
        <f>IF(B$18="No",0,1)</f>
        <v>1</v>
      </c>
      <c r="G23" s="84">
        <f t="shared" si="4"/>
        <v>1</v>
      </c>
      <c r="H23" s="85">
        <f t="shared" si="2"/>
        <v>1</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Tantalum  (*)</v>
      </c>
      <c r="B25" s="105">
        <f>IF(AND($B$15="Yes",$B$20="Yes"),Declaration!D38,0)</f>
        <v>0</v>
      </c>
      <c r="C25" s="105" t="str">
        <f t="shared" ca="1" si="3"/>
        <v>Declare if Tantalum used within the scope of products declared within this survey response originated from the DRC or an adjoining Country on the Declaration tab cell D38</v>
      </c>
      <c r="D25" s="113" t="str">
        <f>IF(H25=1,"Click here to answer question 3 for Tantalum","")</f>
        <v>Click here to answer question 3 for Tantalum</v>
      </c>
      <c r="E25" s="87" t="s">
        <v>918</v>
      </c>
      <c r="F25" s="110">
        <f>IF(OR(B15="No",B20="No"),0,1)</f>
        <v>1</v>
      </c>
      <c r="G25" s="84">
        <f t="shared" ref="G25:G60" si="5">IF(B25=0,1,0)</f>
        <v>1</v>
      </c>
      <c r="H25" s="85">
        <f t="shared" ref="H25:H65" si="6">F25*G25</f>
        <v>1</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f>IF(AND($B$16="Yes",$B$21="Yes"),Declaration!D39,0)</f>
        <v>0</v>
      </c>
      <c r="C26" s="105" t="str">
        <f t="shared" ca="1" si="3"/>
        <v>Declare if Tin used within the scope of products declared within this survey response originated from the DRC or an adjoining Country on the Declaration tab cell D39</v>
      </c>
      <c r="D26" s="113" t="str">
        <f>IF(H26=1,"Click here to answer question 3 for Tin","")</f>
        <v>Click here to answer question 3 for Tin</v>
      </c>
      <c r="E26" s="87" t="s">
        <v>918</v>
      </c>
      <c r="F26" s="110">
        <f>IF(OR(B16="No",B21="No"),0,1)</f>
        <v>1</v>
      </c>
      <c r="G26" s="84">
        <f t="shared" si="5"/>
        <v>1</v>
      </c>
      <c r="H26" s="85">
        <f t="shared" si="6"/>
        <v>1</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f>IF(AND($B$17="Yes",$B$22="Yes"),Declaration!D40,0)</f>
        <v>0</v>
      </c>
      <c r="C27" s="105" t="str">
        <f t="shared" ca="1" si="3"/>
        <v>Declare if Gold used within the scope of products declared within this survey response originated from the DRC or an adjoining Country on the Declaration tab cell D40</v>
      </c>
      <c r="D27" s="113" t="str">
        <f>IF(H27=1,"Click here to answer question 3 for Gold","")</f>
        <v>Click here to answer question 3 for Gold</v>
      </c>
      <c r="E27" s="87" t="s">
        <v>918</v>
      </c>
      <c r="F27" s="110">
        <f>IF(OR(B17="No",B22="No"),0,1)</f>
        <v>1</v>
      </c>
      <c r="G27" s="84">
        <f t="shared" si="5"/>
        <v>1</v>
      </c>
      <c r="H27" s="85">
        <f t="shared" si="6"/>
        <v>1</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Tungsten  (*)</v>
      </c>
      <c r="B28" s="105">
        <f>IF(AND($B$18="Yes",$B$23="Yes"),Declaration!D41,0)</f>
        <v>0</v>
      </c>
      <c r="C28" s="105" t="str">
        <f t="shared" ca="1" si="3"/>
        <v>Declare if Tungsten used within the scope of products declared within this survey response originated from the DRC or an adjoining Country on the Declaration tab cell D41</v>
      </c>
      <c r="D28" s="113" t="str">
        <f>IF(H28=1,"Click here to answer question 3 for Tungsten","")</f>
        <v>Click here to answer question 3 for Tungsten</v>
      </c>
      <c r="E28" s="87" t="s">
        <v>918</v>
      </c>
      <c r="F28" s="110">
        <f>IF(OR(B18="No",B23="No"),0,1)</f>
        <v>1</v>
      </c>
      <c r="G28" s="84">
        <f t="shared" si="5"/>
        <v>1</v>
      </c>
      <c r="H28" s="85">
        <f t="shared" si="6"/>
        <v>1</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Tantalum  (*)</v>
      </c>
      <c r="B30" s="105">
        <f>IF(AND($B$15="Yes",$B$20="Yes"),Declaration!D44,0)</f>
        <v>0</v>
      </c>
      <c r="C30" s="105" t="str">
        <f ca="1">IF(H30=1,J30,I30)</f>
        <v>Declare if Tantalum used within the scope of products declared within this survey response originated entirely from a recycled or scrap source on the Declaration tab cell D44</v>
      </c>
      <c r="D30" s="113" t="str">
        <f>IF(H30=1,"Click here to answer question 4 for Tantalum","")</f>
        <v>Click here to answer question 4 for Tantalum</v>
      </c>
      <c r="E30" s="87" t="s">
        <v>1437</v>
      </c>
      <c r="F30" s="110">
        <f>F25</f>
        <v>1</v>
      </c>
      <c r="G30" s="84">
        <f>IF(B30=0,1,0)</f>
        <v>1</v>
      </c>
      <c r="H30" s="85">
        <f>F30*G30</f>
        <v>1</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f>IF(AND($B$16="Yes",$B$21="Yes"),Declaration!D45,0)</f>
        <v>0</v>
      </c>
      <c r="C31" s="105" t="str">
        <f ca="1">IF(H31=1,J31,I31)</f>
        <v>Declare if Tin used within the scope of products declared within this survey response originated entirely from a recycled or scrap source on the Declaration tab cell D45</v>
      </c>
      <c r="D31" s="113" t="str">
        <f>IF(H31=1,"Click here to answer question 4 for Tin","")</f>
        <v>Click here to answer question 4 for Tin</v>
      </c>
      <c r="E31" s="87" t="s">
        <v>1437</v>
      </c>
      <c r="F31" s="110">
        <f>F26</f>
        <v>1</v>
      </c>
      <c r="G31" s="84">
        <f>IF(B31=0,1,0)</f>
        <v>1</v>
      </c>
      <c r="H31" s="85">
        <f>F31*G31</f>
        <v>1</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f>IF(AND($B$17="Yes",$B$22="Yes"),Declaration!D46,0)</f>
        <v>0</v>
      </c>
      <c r="C32" s="105" t="str">
        <f ca="1">IF(H32=1,J32,I32)</f>
        <v>Declare if Gold used within the scope of products declared within this survey response originated entirely from a recycled or scrap source on the Declaration tab cell D46</v>
      </c>
      <c r="D32" s="113" t="str">
        <f>IF(H32=1,"Click here to answer question 4 for Gold","")</f>
        <v>Click here to answer question 4 for Gold</v>
      </c>
      <c r="E32" s="87" t="s">
        <v>1437</v>
      </c>
      <c r="F32" s="110">
        <f>F27</f>
        <v>1</v>
      </c>
      <c r="G32" s="84">
        <f>IF(B32=0,1,0)</f>
        <v>1</v>
      </c>
      <c r="H32" s="85">
        <f>F32*G32</f>
        <v>1</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Tungsten  (*)</v>
      </c>
      <c r="B33" s="105">
        <f>IF(AND($B$18="Yes",$B$23="Yes"),Declaration!D47,0)</f>
        <v>0</v>
      </c>
      <c r="C33" s="105" t="str">
        <f ca="1">IF(H33=1,J33,I33)</f>
        <v>Declare if Tungsten used within the scope of products declared within this survey response originated entirely from a recycled or scrap source on the Declaration tab cell D47</v>
      </c>
      <c r="D33" s="113" t="str">
        <f>IF(H33=1,"Click here to answer question 4 for Tungsten","")</f>
        <v>Click here to answer question 4 for Tungsten</v>
      </c>
      <c r="E33" s="87" t="s">
        <v>1437</v>
      </c>
      <c r="F33" s="110">
        <f>F28</f>
        <v>1</v>
      </c>
      <c r="G33" s="84">
        <f>IF(B33=0,1,0)</f>
        <v>1</v>
      </c>
      <c r="H33" s="85">
        <f>F33*G33</f>
        <v>1</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Tantalum  (*)</v>
      </c>
      <c r="B35" s="105">
        <f>IF(AND($B$15="Yes",$B$20="Yes"),Declaration!D50,0)</f>
        <v>0</v>
      </c>
      <c r="C35" s="105" t="str">
        <f t="shared" ca="1" si="3"/>
        <v>Provide % of completeness of supplier's smelter information on Declaration tab cell D50</v>
      </c>
      <c r="D35" s="111" t="str">
        <f>IF(H35=1,"Click here to answer question 5 for Tantalum","")</f>
        <v>Click here to answer question 5 for Tantalum</v>
      </c>
      <c r="E35" s="87" t="s">
        <v>917</v>
      </c>
      <c r="F35" s="110">
        <f>F25</f>
        <v>1</v>
      </c>
      <c r="G35" s="84">
        <f t="shared" si="5"/>
        <v>1</v>
      </c>
      <c r="H35" s="85">
        <f t="shared" si="6"/>
        <v>1</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f>IF(AND($B$16="Yes",$B$21="Yes"),Declaration!D51,0)</f>
        <v>0</v>
      </c>
      <c r="C36" s="105" t="str">
        <f ca="1">IF(H36=1,J36,I36)</f>
        <v>Provide % of completeness of supplier's smelter information on Declaration tab cell D51</v>
      </c>
      <c r="D36" s="111" t="str">
        <f>IF(H36=1,"Click here to answer question 5 for Tin","")</f>
        <v>Click here to answer question 5 for Tin</v>
      </c>
      <c r="E36" s="87" t="s">
        <v>917</v>
      </c>
      <c r="F36" s="110">
        <f>F26</f>
        <v>1</v>
      </c>
      <c r="G36" s="84">
        <f t="shared" si="5"/>
        <v>1</v>
      </c>
      <c r="H36" s="85">
        <f t="shared" si="6"/>
        <v>1</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f>IF(AND($B$17="Yes",$B$22="Yes"),Declaration!D52,0)</f>
        <v>0</v>
      </c>
      <c r="C37" s="105" t="str">
        <f t="shared" ca="1" si="3"/>
        <v>Provide % of completeness of supplier's smelter information on Declaration tab cell D52</v>
      </c>
      <c r="D37" s="111" t="str">
        <f>IF(H37=1,"Click here to answer question 5 for Gold","")</f>
        <v>Click here to answer question 5 for Gold</v>
      </c>
      <c r="E37" s="87" t="s">
        <v>917</v>
      </c>
      <c r="F37" s="110">
        <f>F27</f>
        <v>1</v>
      </c>
      <c r="G37" s="84">
        <f t="shared" si="5"/>
        <v>1</v>
      </c>
      <c r="H37" s="85">
        <f t="shared" si="6"/>
        <v>1</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Tungsten  (*)</v>
      </c>
      <c r="B38" s="105">
        <f>IF(AND($B$18="Yes",$B$23="Yes"),Declaration!D53,0)</f>
        <v>0</v>
      </c>
      <c r="C38" s="105" t="str">
        <f t="shared" ca="1" si="3"/>
        <v>Provide % of completeness of supplier's smelter information on Declaration tab cell D53</v>
      </c>
      <c r="D38" s="111" t="str">
        <f>IF(H38=1,"Click here to answer question 5 for Tungsten","")</f>
        <v>Click here to answer question 5 for Tungsten</v>
      </c>
      <c r="E38" s="87" t="s">
        <v>917</v>
      </c>
      <c r="F38" s="110">
        <f>F28</f>
        <v>1</v>
      </c>
      <c r="G38" s="84">
        <f t="shared" si="5"/>
        <v>1</v>
      </c>
      <c r="H38" s="85">
        <f t="shared" si="6"/>
        <v>1</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Tantalum  (*)</v>
      </c>
      <c r="B40" s="105">
        <f>IF(AND($B$15="Yes",$B$20="Yes"),Declaration!D56,0)</f>
        <v>0</v>
      </c>
      <c r="C40" s="105" t="str">
        <f t="shared" ca="1" si="3"/>
        <v>Declare if all smelter names have been provided in this survey response under the scope of products declared on the Declaration tab cell D56</v>
      </c>
      <c r="D40" s="113" t="str">
        <f>IF(H40=1,"Click here to answer question 6 for Tantalum","")</f>
        <v>Click here to answer question 6 for Tantalum</v>
      </c>
      <c r="E40" s="87" t="s">
        <v>1433</v>
      </c>
      <c r="F40" s="110">
        <f>F25</f>
        <v>1</v>
      </c>
      <c r="G40" s="84">
        <f t="shared" si="5"/>
        <v>1</v>
      </c>
      <c r="H40" s="85">
        <f t="shared" si="6"/>
        <v>1</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f>IF(AND($B$16="Yes",$B$21="Yes"),Declaration!D57,0)</f>
        <v>0</v>
      </c>
      <c r="C41" s="105" t="str">
        <f t="shared" ca="1" si="3"/>
        <v>Declare if all smelter names have been provided in this survey response under the scope of products declared on the Declaration tab cell D57</v>
      </c>
      <c r="D41" s="113" t="str">
        <f>IF(H41=1,"Click here to answer question 6 for Tin","")</f>
        <v>Click here to answer question 6 for Tin</v>
      </c>
      <c r="E41" s="87" t="s">
        <v>1433</v>
      </c>
      <c r="F41" s="110">
        <f>F26</f>
        <v>1</v>
      </c>
      <c r="G41" s="84">
        <f t="shared" si="5"/>
        <v>1</v>
      </c>
      <c r="H41" s="85">
        <f t="shared" si="6"/>
        <v>1</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f>IF(AND($B$17="Yes",$B$22="Yes"),Declaration!D58,0)</f>
        <v>0</v>
      </c>
      <c r="C42" s="105" t="str">
        <f t="shared" ca="1" si="3"/>
        <v>Declare if all smelter names have been provided in this survey response under the scope of products declared on the Declaration tab cell D58</v>
      </c>
      <c r="D42" s="113" t="str">
        <f>IF(H42=1,"Click here to answer question 6 for Gold","")</f>
        <v>Click here to answer question 6 for Gold</v>
      </c>
      <c r="E42" s="87" t="s">
        <v>1433</v>
      </c>
      <c r="F42" s="110">
        <f>F27</f>
        <v>1</v>
      </c>
      <c r="G42" s="84">
        <f t="shared" si="5"/>
        <v>1</v>
      </c>
      <c r="H42" s="85">
        <f t="shared" si="6"/>
        <v>1</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Tungsten  (*)</v>
      </c>
      <c r="B43" s="105">
        <f>IF(AND($B$18="Yes",$B$23="Yes"),Declaration!D59,0)</f>
        <v>0</v>
      </c>
      <c r="C43" s="105" t="str">
        <f t="shared" ca="1" si="3"/>
        <v>Declare if all smelter names have been provided in this survey response which the scope of products declared on the Declaration tab cell D59</v>
      </c>
      <c r="D43" s="113" t="str">
        <f>IF(H43=1,"Click here to answer question 6 for Tungsten","")</f>
        <v>Click here to answer question 6 for Tungsten</v>
      </c>
      <c r="E43" s="87" t="s">
        <v>1433</v>
      </c>
      <c r="F43" s="110">
        <f>F28</f>
        <v>1</v>
      </c>
      <c r="G43" s="84">
        <f t="shared" si="5"/>
        <v>1</v>
      </c>
      <c r="H43" s="85">
        <f t="shared" si="6"/>
        <v>1</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Tantalum  (*)</v>
      </c>
      <c r="B45" s="105">
        <f>IF(AND($B$15="Yes",$B$20="Yes"),Declaration!D62,0)</f>
        <v>0</v>
      </c>
      <c r="C45" s="105" t="str">
        <f t="shared" ca="1" si="3"/>
        <v>Declare if all applicable Tantalum smelter information has been provided on Declaration tab cell D62</v>
      </c>
      <c r="D45" s="114" t="str">
        <f>IF(H45=1,"Click here to answer question 7 for Tantalum","")</f>
        <v>Click here to answer question 7 for Tantalum</v>
      </c>
      <c r="E45" s="87" t="s">
        <v>918</v>
      </c>
      <c r="F45" s="110">
        <f>F25</f>
        <v>1</v>
      </c>
      <c r="G45" s="84">
        <f t="shared" si="5"/>
        <v>1</v>
      </c>
      <c r="H45" s="85">
        <f t="shared" si="6"/>
        <v>1</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f>IF(AND($B$16="Yes",$B$21="Yes"),Declaration!D63,0)</f>
        <v>0</v>
      </c>
      <c r="C46" s="105" t="str">
        <f t="shared" ca="1" si="3"/>
        <v>Declare if all applicable Tin smelter information has been provided on Declaration tab cell D63</v>
      </c>
      <c r="D46" s="114" t="str">
        <f>IF(H46=1,"Click here to answer question 7 for Tin","")</f>
        <v>Click here to answer question 7 for Tin</v>
      </c>
      <c r="E46" s="87" t="s">
        <v>918</v>
      </c>
      <c r="F46" s="110">
        <f>F26</f>
        <v>1</v>
      </c>
      <c r="G46" s="84">
        <f t="shared" si="5"/>
        <v>1</v>
      </c>
      <c r="H46" s="85">
        <f t="shared" si="6"/>
        <v>1</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f>IF(AND($B$17="Yes",$B$22="Yes"),Declaration!D64,0)</f>
        <v>0</v>
      </c>
      <c r="C47" s="105" t="str">
        <f t="shared" ca="1" si="3"/>
        <v>Declare if all applicable Gold smelter information has been provided on Declaration tab cell D64</v>
      </c>
      <c r="D47" s="114" t="str">
        <f>IF(H47=1,"Click here to answer question 7 for Gold","")</f>
        <v>Click here to answer question 7 for Gold</v>
      </c>
      <c r="E47" s="87" t="s">
        <v>918</v>
      </c>
      <c r="F47" s="110">
        <f>F27</f>
        <v>1</v>
      </c>
      <c r="G47" s="84">
        <f t="shared" si="5"/>
        <v>1</v>
      </c>
      <c r="H47" s="85">
        <f t="shared" si="6"/>
        <v>1</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Tungsten  (*)</v>
      </c>
      <c r="B48" s="105">
        <f>IF(AND($B$18="Yes",$B$23="Yes"),Declaration!D65,0)</f>
        <v>0</v>
      </c>
      <c r="C48" s="105" t="str">
        <f t="shared" ca="1" si="3"/>
        <v>Declare if all applicable Tungsten smelter information has been provided on Declaration tab cell D65</v>
      </c>
      <c r="D48" s="114" t="str">
        <f>IF(H48=1,"Click here to answer question 7 for Tungsten","")</f>
        <v>Click here to answer question 7 for Tungsten</v>
      </c>
      <c r="E48" s="87" t="s">
        <v>918</v>
      </c>
      <c r="F48" s="110">
        <f>F28</f>
        <v>1</v>
      </c>
      <c r="G48" s="84">
        <f t="shared" si="5"/>
        <v>1</v>
      </c>
      <c r="H48" s="85">
        <f t="shared" si="6"/>
        <v>1</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f>Declaration!D69</f>
        <v>0</v>
      </c>
      <c r="C50" s="105" t="str">
        <f t="shared" ca="1" si="3"/>
        <v>Answer if your company has a DRC conflict-free sourcing policy on the Declaration tab cell D69</v>
      </c>
      <c r="D50" s="111" t="str">
        <f>IF(H50=1,"Click here to answer question (A)","")</f>
        <v>Click here to answer question (A)</v>
      </c>
      <c r="E50" s="87" t="s">
        <v>1437</v>
      </c>
      <c r="F50" s="110">
        <f>IF(SUM(F$25:F$28)=0,0,1)</f>
        <v>1</v>
      </c>
      <c r="G50" s="84">
        <f t="shared" si="5"/>
        <v>1</v>
      </c>
      <c r="H50" s="85">
        <f t="shared" si="6"/>
        <v>1</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f>Declaration!D71</f>
        <v>0</v>
      </c>
      <c r="C51" s="105" t="str">
        <f t="shared" ca="1" si="3"/>
        <v>Answer if your company has made your DRC conflict-free sourcing policy publically available on your website on the Declaration tab cell D71</v>
      </c>
      <c r="D51" s="111" t="str">
        <f>IF(H51=1,"Click here to answer question (B)","")</f>
        <v>Click here to answer question (B)</v>
      </c>
      <c r="E51" s="87" t="s">
        <v>1437</v>
      </c>
      <c r="F51" s="110">
        <f t="shared" ref="F51:F60" si="7">F$50</f>
        <v>1</v>
      </c>
      <c r="G51" s="84">
        <f t="shared" si="5"/>
        <v>1</v>
      </c>
      <c r="H51" s="85">
        <f t="shared" si="6"/>
        <v>1</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f>Declaration!D73</f>
        <v>0</v>
      </c>
      <c r="C53" s="105" t="str">
        <f t="shared" ca="1" si="3"/>
        <v>Answer if you require your direct suppliers to be DRC conflict-free on the Declaration tab cell D73</v>
      </c>
      <c r="D53" s="111" t="str">
        <f>IF(H53=1,"Click here to answer question (C)","")</f>
        <v>Click here to answer question (C)</v>
      </c>
      <c r="E53" s="87" t="s">
        <v>1437</v>
      </c>
      <c r="F53" s="110">
        <f t="shared" si="7"/>
        <v>1</v>
      </c>
      <c r="G53" s="84">
        <f t="shared" si="5"/>
        <v>1</v>
      </c>
      <c r="H53" s="85">
        <f t="shared" si="6"/>
        <v>1</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f>Declaration!D75</f>
        <v>0</v>
      </c>
      <c r="C54" s="105" t="str">
        <f ca="1">IF(H54=1,J54,I54)</f>
        <v>Answer if you require your direct suppliers to source from smelters validated as DRC conflict-free using the Responsible Minerals Assurance Process conformant smelter list on Declaration tab cell D75</v>
      </c>
      <c r="D54" s="111" t="str">
        <f>IF(H54=1,"Click here to answer question (D)","")</f>
        <v>Click here to answer question (D)</v>
      </c>
      <c r="E54" s="87" t="s">
        <v>1437</v>
      </c>
      <c r="F54" s="110">
        <f t="shared" si="7"/>
        <v>1</v>
      </c>
      <c r="G54" s="84">
        <f t="shared" si="5"/>
        <v>1</v>
      </c>
      <c r="H54" s="85">
        <f t="shared" si="6"/>
        <v>1</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f>Declaration!D77</f>
        <v>0</v>
      </c>
      <c r="C55" s="105" t="str">
        <f t="shared" ca="1" si="3"/>
        <v>Answer if you have implemented conflict-free minerals sourcing due diligence measures on Declaration tab cell D77</v>
      </c>
      <c r="D55" s="111" t="str">
        <f>IF(H55=1,"Click here to answer question (E)","")</f>
        <v>Click here to answer question (E)</v>
      </c>
      <c r="E55" s="87" t="s">
        <v>1437</v>
      </c>
      <c r="F55" s="110">
        <f t="shared" si="7"/>
        <v>1</v>
      </c>
      <c r="G55" s="84">
        <f t="shared" si="5"/>
        <v>1</v>
      </c>
      <c r="H55" s="85">
        <f t="shared" si="6"/>
        <v>1</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f>Declaration!D79</f>
        <v>0</v>
      </c>
      <c r="C56" s="105" t="str">
        <f t="shared" ca="1" si="3"/>
        <v>Answer if you request your suppliers to fill out this Conflict Minerals Reporting Template on Declaration tab cell D79</v>
      </c>
      <c r="D56" s="111" t="str">
        <f>IF(H56=1,"Click here to answer question (F)","")</f>
        <v>Click here to answer question (F)</v>
      </c>
      <c r="E56" s="87" t="s">
        <v>1437</v>
      </c>
      <c r="F56" s="110">
        <f t="shared" si="7"/>
        <v>1</v>
      </c>
      <c r="G56" s="84">
        <f t="shared" si="5"/>
        <v>1</v>
      </c>
      <c r="H56" s="85">
        <f t="shared" si="6"/>
        <v>1</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f>Declaration!D81</f>
        <v>0</v>
      </c>
      <c r="C58" s="105" t="str">
        <f t="shared" ca="1" si="3"/>
        <v>Answer if you verify responses from your suppliers against your company's expectations on Declaration tab cell D83</v>
      </c>
      <c r="D58" s="111" t="str">
        <f>IF(H58=1,"Click here to answer question (G)","")</f>
        <v>Click here to answer question (G)</v>
      </c>
      <c r="E58" s="87" t="s">
        <v>1437</v>
      </c>
      <c r="F58" s="110">
        <f t="shared" si="7"/>
        <v>1</v>
      </c>
      <c r="G58" s="84">
        <f t="shared" si="5"/>
        <v>1</v>
      </c>
      <c r="H58" s="85">
        <f t="shared" si="6"/>
        <v>1</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f>Declaration!D83</f>
        <v>0</v>
      </c>
      <c r="C59" s="105" t="str">
        <f t="shared" ca="1" si="3"/>
        <v>Answer if your verification process includes corrective action management on Declaration tab cell D85</v>
      </c>
      <c r="D59" s="111" t="str">
        <f>IF(H59=1,"Click here to answer question (H)","")</f>
        <v>Click here to answer question (H)</v>
      </c>
      <c r="E59" s="87" t="s">
        <v>1437</v>
      </c>
      <c r="F59" s="110">
        <f t="shared" si="7"/>
        <v>1</v>
      </c>
      <c r="G59" s="84">
        <f t="shared" si="5"/>
        <v>1</v>
      </c>
      <c r="H59" s="85">
        <f t="shared" si="6"/>
        <v>1</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f>Declaration!D85</f>
        <v>0</v>
      </c>
      <c r="C60" s="105" t="str">
        <f t="shared" ca="1" si="3"/>
        <v>Answer if you are subject to the SEC Disclosure requirement on Declaration tab cell D87</v>
      </c>
      <c r="D60" s="111" t="str">
        <f>IF(H60=1,"Click here to answer question (I)","")</f>
        <v>Click here to answer question (I)</v>
      </c>
      <c r="E60" s="87" t="s">
        <v>1437</v>
      </c>
      <c r="F60" s="110">
        <f t="shared" si="7"/>
        <v>1</v>
      </c>
      <c r="G60" s="84">
        <f t="shared" si="5"/>
        <v>1</v>
      </c>
      <c r="H60" s="85">
        <f t="shared" si="6"/>
        <v>1</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 ca="1">IF(K62=1,L62,IF(B15="No","Not Required",IF(G62=0,I62,J62)))</f>
        <v>Please answer Question 1 / Question 2 on Declaration tab</v>
      </c>
      <c r="D62" s="111" t="str">
        <f>IF(H62=0,"","Click here to provide smelter information")</f>
        <v>Click here to provide smelter information</v>
      </c>
      <c r="E62" s="87" t="s">
        <v>1437</v>
      </c>
      <c r="F62" s="110">
        <f>F25</f>
        <v>1</v>
      </c>
      <c r="G62" s="84">
        <f>IF(AND(COUNTIF(SmelterIdetifiedForMetal,"Tantalum")&gt;0,COUNTIF('Smelter List'!AB$5:AB$2493,"Tantalum?*")&gt;0),0,1)</f>
        <v>1</v>
      </c>
      <c r="H62" s="85">
        <f t="shared" si="6"/>
        <v>1</v>
      </c>
      <c r="I62" s="181" t="str">
        <f ca="1">OFFSET(L!$C$1,MATCH("Checker"&amp;"Comp",L!$A:$A,0)-1,SL,,)</f>
        <v>Complete</v>
      </c>
      <c r="J62" s="22" t="str">
        <f ca="1">OFFSET(L!$C$1,MATCH("Checker"&amp;ADDRESS(ROW(),COLUMN(),4),L!$A:$A,0)-1,SL,,)</f>
        <v>Provide list of tantalum smelters contributing material to supply chain on Smelter List tab</v>
      </c>
      <c r="K62" s="188">
        <f>IF(H15+H20&gt;0,1,0)</f>
        <v>1</v>
      </c>
      <c r="L62" s="22" t="str">
        <f ca="1">OFFSET(L!$C$1,MATCH("Checker"&amp;ADDRESS(ROW(),COLUMN(),4),L!$A:$A,0)-1,SL,,)</f>
        <v>Please answer Question 1 / Question 2 on Declaration tab</v>
      </c>
    </row>
    <row r="63" spans="1:12" ht="41">
      <c r="A63" s="105" t="s">
        <v>2117</v>
      </c>
      <c r="B63" s="105"/>
      <c r="C63" s="105" t="str">
        <f ca="1">IF(K63=1,L63,IF(B16="No","Not Required",IF(G63=0,I63,J63)))</f>
        <v>Please answer Question 1 / Question 2 on Declaration tab</v>
      </c>
      <c r="D63" s="111" t="str">
        <f>IF(H63=0,"","Click here to provide smelter information")</f>
        <v>Click here to provide smelter information</v>
      </c>
      <c r="E63" s="87" t="s">
        <v>918</v>
      </c>
      <c r="F63" s="110">
        <f>F26</f>
        <v>1</v>
      </c>
      <c r="G63" s="84">
        <f>IF(AND(COUNTIF(SmelterIdetifiedForMetal,"Tin")&gt;0,COUNTIF('Smelter List'!AB$5:AB$2493,"Tin?*")&gt;0),0,1)</f>
        <v>1</v>
      </c>
      <c r="H63" s="85">
        <f t="shared" si="6"/>
        <v>1</v>
      </c>
      <c r="I63" s="181" t="str">
        <f ca="1">OFFSET(L!$C$1,MATCH("Checker"&amp;"Comp",L!$A:$A,0)-1,SL,,)</f>
        <v>Complete</v>
      </c>
      <c r="J63" s="22" t="str">
        <f ca="1">OFFSET(L!$C$1,MATCH("Checker"&amp;ADDRESS(ROW(),COLUMN(),4),L!$A:$A,0)-1,SL,,)</f>
        <v>Provide list of tin smelters contributing material to supply chain on Smelter List tab</v>
      </c>
      <c r="K63" s="188">
        <f>IF(H16+H21&gt;0,1,0)</f>
        <v>1</v>
      </c>
      <c r="L63" s="22" t="str">
        <f ca="1">OFFSET(L!$C$1,MATCH("Checker"&amp;ADDRESS(ROW(),COLUMN(),4),L!$A:$A,0)-1,SL,,)</f>
        <v>Please answer Question 1 / Question 2 on Declaration tab</v>
      </c>
    </row>
    <row r="64" spans="1:12" ht="41">
      <c r="A64" s="105" t="s">
        <v>2118</v>
      </c>
      <c r="B64" s="105"/>
      <c r="C64" s="105" t="str">
        <f ca="1">IF(K64=1,L64,IF(B17="No","Not Required",IF(G64=0,I64,J64)))</f>
        <v>Please answer Question 1 / Question 2 on Declaration tab</v>
      </c>
      <c r="D64" s="111" t="str">
        <f>IF(H64=0,"","Click here to provide smelter information")</f>
        <v>Click here to provide smelter information</v>
      </c>
      <c r="E64" s="87" t="s">
        <v>918</v>
      </c>
      <c r="F64" s="110">
        <f>F27</f>
        <v>1</v>
      </c>
      <c r="G64" s="84">
        <f>IF(AND(COUNTIF(SmelterIdetifiedForMetal,"Gold")&gt;0,COUNTIF('Smelter List'!AB$5:AB$2493,"Gold?*")&gt;0),0,1)</f>
        <v>1</v>
      </c>
      <c r="H64" s="85">
        <f t="shared" si="6"/>
        <v>1</v>
      </c>
      <c r="I64" s="181" t="str">
        <f ca="1">OFFSET(L!$C$1,MATCH("Checker"&amp;"Comp",L!$A:$A,0)-1,SL,,)</f>
        <v>Complete</v>
      </c>
      <c r="J64" s="22" t="str">
        <f ca="1">OFFSET(L!$C$1,MATCH("Checker"&amp;ADDRESS(ROW(),COLUMN(),4),L!$A:$A,0)-1,SL,,)</f>
        <v>Provide list of gold smelters contributing material to supply chain on Smelter List tab</v>
      </c>
      <c r="K64" s="188">
        <f>IF(H17+H22&gt;0,1,0)</f>
        <v>1</v>
      </c>
      <c r="L64" s="22" t="str">
        <f ca="1">OFFSET(L!$C$1,MATCH("Checker"&amp;ADDRESS(ROW(),COLUMN(),4),L!$A:$A,0)-1,SL,,)</f>
        <v>Please answer Question 1 / Question 2 on Declaration tab</v>
      </c>
    </row>
    <row r="65" spans="1:12" ht="41">
      <c r="A65" s="105" t="s">
        <v>2119</v>
      </c>
      <c r="B65" s="105"/>
      <c r="C65" s="105" t="str">
        <f ca="1">IF(K65=1,L65,IF(B18="No","Not Required",IF(G65=0,I65,J65)))</f>
        <v>Please answer Question 1 / Question 2 on Declaration tab</v>
      </c>
      <c r="D65" s="111" t="str">
        <f>IF(H65=0,"","Click here to provide smelter information")</f>
        <v>Click here to provide smelter information</v>
      </c>
      <c r="E65" s="87" t="s">
        <v>918</v>
      </c>
      <c r="F65" s="110">
        <f>F28</f>
        <v>1</v>
      </c>
      <c r="G65" s="84">
        <f>IF(AND(COUNTIF(SmelterIdetifiedForMetal,"Tungsten")&gt;0,COUNTIF('Smelter List'!AB$5:AB$2493,"Tungsten?*")&gt;0),0,1)</f>
        <v>1</v>
      </c>
      <c r="H65" s="85">
        <f t="shared" si="6"/>
        <v>1</v>
      </c>
      <c r="I65" s="181" t="str">
        <f ca="1">OFFSET(L!$C$1,MATCH("Checker"&amp;"Comp",L!$A:$A,0)-1,SL,,)</f>
        <v>Complete</v>
      </c>
      <c r="J65" s="22" t="str">
        <f ca="1">OFFSET(L!$C$1,MATCH("Checker"&amp;ADDRESS(ROW(),COLUMN(),4),L!$A:$A,0)-1,SL,,)</f>
        <v>Provide list of tungsten smelters contributing material to supply chain on Smelter List tab</v>
      </c>
      <c r="K65" s="188">
        <f>IF(H18+H23&gt;0,1,0)</f>
        <v>1</v>
      </c>
      <c r="L65" s="22" t="str">
        <f ca="1">OFFSET(L!$C$1,MATCH("Checker"&amp;ADDRESS(ROW(),COLUMN(),4),L!$A:$A,0)-1,SL,,)</f>
        <v>Please answer Question 1 / Question 2 on Declaration tab</v>
      </c>
    </row>
    <row r="66" spans="1:12" ht="27">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50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44" t="str">
        <f ca="1">OFFSET(L!$C$1,MATCH("General"&amp;"Cpy",L!$A:$A,0)-1,SL,,)</f>
        <v>© 2019 Responsible Minerals Initiative. All rights reserved.</v>
      </c>
      <c r="C1001" s="444"/>
      <c r="D1001" s="444"/>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5"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3">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Hillary Amster</cp:lastModifiedBy>
  <cp:lastPrinted>2015-04-21T20:47:43Z</cp:lastPrinted>
  <dcterms:created xsi:type="dcterms:W3CDTF">2010-06-21T21:00:23Z</dcterms:created>
  <dcterms:modified xsi:type="dcterms:W3CDTF">2019-04-27T07:40:01Z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