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autoCompressPictures="0"/>
  <mc:AlternateContent xmlns:mc="http://schemas.openxmlformats.org/markup-compatibility/2006">
    <mc:Choice Requires="x15">
      <x15ac:absPath xmlns:x15ac="http://schemas.microsoft.com/office/spreadsheetml/2010/11/ac" url="https://erametgroup-my.sharepoint.com/personal/patrick_delaborde_eramet_com/Documents/UKAD/Environnement/"/>
    </mc:Choice>
  </mc:AlternateContent>
  <xr:revisionPtr revIDLastSave="27" documentId="8_{0A1F50E2-2865-4B8B-ADE8-CD379748FF71}" xr6:coauthVersionLast="44" xr6:coauthVersionMax="44" xr10:uidLastSave="{8227CC85-F461-4F6D-BDCB-1D5986591D50}"/>
  <workbookProtection workbookAlgorithmName="SHA-512" workbookHashValue="FDm0YVlRHuvuR7ASQJ7z4n/c8bI9AuIKyHf8ujFWtWUkp7+Xm6/f03FyvVRZ4GAgW7GEWKWltQSnVHknWKh2BA==" workbookSaltValue="EX+GsGCD48ANiKbfOQgmtw==" workbookSpinCount="100000" lockStructure="1"/>
  <bookViews>
    <workbookView xWindow="7620" yWindow="1560" windowWidth="20352" windowHeight="13644" tabRatio="789" activeTab="5"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 name="_xlnm.Print_Area" localSheetId="3">Declaration!$A$1:$L$92</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5" l="1"/>
  <c r="C5" i="5" l="1"/>
  <c r="C6" i="5"/>
  <c r="C7" i="5"/>
  <c r="B5" i="5"/>
  <c r="B6" i="5"/>
  <c r="B7" i="5"/>
  <c r="B8" i="5"/>
  <c r="B9" i="5"/>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C552" i="5"/>
  <c r="V552" i="5" s="1"/>
  <c r="B552" i="5"/>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B450" i="5"/>
  <c r="T450" i="5" s="1"/>
  <c r="C449" i="5"/>
  <c r="V449" i="5" s="1"/>
  <c r="B449" i="5"/>
  <c r="T449" i="5" s="1"/>
  <c r="C448" i="5"/>
  <c r="V448" i="5" s="1"/>
  <c r="B448" i="5"/>
  <c r="C447" i="5"/>
  <c r="B447" i="5"/>
  <c r="T447" i="5" s="1"/>
  <c r="C446" i="5"/>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C416" i="5"/>
  <c r="V416" i="5" s="1"/>
  <c r="R416" i="5" s="1"/>
  <c r="B416" i="5"/>
  <c r="C415" i="5"/>
  <c r="B415" i="5"/>
  <c r="T415" i="5" s="1"/>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C364" i="5"/>
  <c r="V364" i="5" s="1"/>
  <c r="I364" i="5" s="1"/>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C313" i="5"/>
  <c r="V313" i="5" s="1"/>
  <c r="R313" i="5" s="1"/>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C263" i="5"/>
  <c r="V263" i="5" s="1"/>
  <c r="R263" i="5" s="1"/>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C226" i="5"/>
  <c r="V226" i="5" s="1"/>
  <c r="B226" i="5"/>
  <c r="T226" i="5" s="1"/>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C37" i="5"/>
  <c r="V37" i="5" s="1"/>
  <c r="R37" i="5" s="1"/>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C22" i="5"/>
  <c r="V22" i="5" s="1"/>
  <c r="I22" i="5" s="1"/>
  <c r="B22" i="5"/>
  <c r="S22" i="5" s="1"/>
  <c r="C21" i="5"/>
  <c r="V21" i="5" s="1"/>
  <c r="B21" i="5"/>
  <c r="V20" i="5"/>
  <c r="R20" i="5" s="1"/>
  <c r="B20" i="5"/>
  <c r="T20" i="5" s="1"/>
  <c r="C19" i="5"/>
  <c r="V19" i="5" s="1"/>
  <c r="B19" i="5"/>
  <c r="T19" i="5" s="1"/>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l="1"/>
  <c r="AB1293" i="5"/>
  <c r="AB410" i="5"/>
  <c r="AB674" i="5"/>
  <c r="AB1115" i="5"/>
  <c r="AB2088" i="5"/>
  <c r="AB552" i="5"/>
  <c r="AB1401" i="5"/>
  <c r="AB1437" i="5"/>
  <c r="AB299" i="5"/>
  <c r="S414" i="5"/>
  <c r="R480" i="5"/>
  <c r="AB579" i="5"/>
  <c r="AB630" i="5"/>
  <c r="T645" i="5"/>
  <c r="S778" i="5"/>
  <c r="AB841" i="5"/>
  <c r="S853" i="5"/>
  <c r="T1435" i="5"/>
  <c r="S1477" i="5"/>
  <c r="S1596" i="5"/>
  <c r="T1814" i="5"/>
  <c r="S2015" i="5"/>
  <c r="T2060" i="5"/>
  <c r="S2140" i="5"/>
  <c r="T2248" i="5"/>
  <c r="T190" i="5"/>
  <c r="T684" i="5"/>
  <c r="T788" i="5"/>
  <c r="S918" i="5"/>
  <c r="S1000" i="5"/>
  <c r="AB1353" i="5"/>
  <c r="T1519" i="5"/>
  <c r="AB1691" i="5"/>
  <c r="AB1731" i="5"/>
  <c r="S1770" i="5"/>
  <c r="T1781" i="5"/>
  <c r="S2038" i="5"/>
  <c r="T2163" i="5"/>
  <c r="AB2402" i="5"/>
  <c r="AB2413" i="5"/>
  <c r="T76" i="5"/>
  <c r="T391" i="5"/>
  <c r="AB446" i="5"/>
  <c r="AB450" i="5"/>
  <c r="AB481" i="5"/>
  <c r="R528" i="5"/>
  <c r="G681" i="5"/>
  <c r="AB720" i="5"/>
  <c r="AB858" i="5"/>
  <c r="S903" i="5"/>
  <c r="T1078" i="5"/>
  <c r="T1407" i="5"/>
  <c r="S1465" i="5"/>
  <c r="S1491" i="5"/>
  <c r="T1624" i="5"/>
  <c r="T1675" i="5"/>
  <c r="S1748" i="5"/>
  <c r="AB1757" i="5"/>
  <c r="T1883" i="5"/>
  <c r="S2068" i="5"/>
  <c r="T2133" i="5"/>
  <c r="S2428" i="5"/>
  <c r="S120" i="5"/>
  <c r="T250" i="5"/>
  <c r="AB488" i="5"/>
  <c r="S515" i="5"/>
  <c r="G550" i="5"/>
  <c r="T585" i="5"/>
  <c r="AB643" i="5"/>
  <c r="S858" i="5"/>
  <c r="AB902" i="5"/>
  <c r="AB1071" i="5"/>
  <c r="T1098" i="5"/>
  <c r="AB1140" i="5"/>
  <c r="T1244" i="5"/>
  <c r="S1398" i="5"/>
  <c r="AB1566" i="5"/>
  <c r="AB1594" i="5"/>
  <c r="AB1672" i="5"/>
  <c r="S1754" i="5"/>
  <c r="AB1814" i="5"/>
  <c r="AB2069" i="5"/>
  <c r="AB2073" i="5"/>
  <c r="T2188" i="5"/>
  <c r="AB594" i="5"/>
  <c r="AB1022" i="5"/>
  <c r="AB1463" i="5"/>
  <c r="AB324" i="5"/>
  <c r="E1479" i="5"/>
  <c r="X1479" i="5" s="1"/>
  <c r="AB1624" i="5"/>
  <c r="T1684" i="5"/>
  <c r="T2317" i="5"/>
  <c r="AB2465"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G808" i="5" s="1"/>
  <c r="AB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s="1"/>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67" i="5" s="1"/>
  <c r="X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J443" i="5" s="1"/>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R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T990" i="5"/>
  <c r="J991" i="5"/>
  <c r="AB995" i="5"/>
  <c r="H1011" i="5"/>
  <c r="S1015" i="5"/>
  <c r="AB1019" i="5"/>
  <c r="H1031" i="5"/>
  <c r="S1035" i="5"/>
  <c r="V1039" i="5"/>
  <c r="G1039" i="5" s="1"/>
  <c r="G1047" i="5"/>
  <c r="S1048" i="5"/>
  <c r="T1050" i="5"/>
  <c r="J1051" i="5"/>
  <c r="S1055" i="5"/>
  <c r="S1060" i="5"/>
  <c r="AB1062" i="5"/>
  <c r="S1066"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R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J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341"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I624" i="5"/>
  <c r="E626" i="5"/>
  <c r="X626" i="5" s="1"/>
  <c r="T626" i="5"/>
  <c r="I628" i="5"/>
  <c r="E630" i="5"/>
  <c r="X630" i="5" s="1"/>
  <c r="T630" i="5"/>
  <c r="I632" i="5"/>
  <c r="T634" i="5"/>
  <c r="I636" i="5"/>
  <c r="E638" i="5"/>
  <c r="X638" i="5" s="1"/>
  <c r="T638" i="5"/>
  <c r="E642" i="5"/>
  <c r="X642" i="5" s="1"/>
  <c r="T642" i="5"/>
  <c r="I644" i="5"/>
  <c r="E646" i="5"/>
  <c r="X646" i="5" s="1"/>
  <c r="T646" i="5"/>
  <c r="I648" i="5"/>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I638" i="5"/>
  <c r="I642" i="5"/>
  <c r="I646"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H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X1054"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7" i="5"/>
  <c r="R991" i="5"/>
  <c r="R995" i="5"/>
  <c r="R999" i="5"/>
  <c r="R1007" i="5"/>
  <c r="R1011" i="5"/>
  <c r="R1015" i="5"/>
  <c r="R1019" i="5"/>
  <c r="R1023" i="5"/>
  <c r="R1027" i="5"/>
  <c r="R1031" i="5"/>
  <c r="R1039" i="5"/>
  <c r="R1043" i="5"/>
  <c r="R1047" i="5"/>
  <c r="R1051" i="5"/>
  <c r="R1059" i="5"/>
  <c r="R1063"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V1691" i="5"/>
  <c r="G1691" i="5" s="1"/>
  <c r="AB1695" i="5"/>
  <c r="AB1710" i="5"/>
  <c r="T1710" i="5"/>
  <c r="S1710" i="5"/>
  <c r="H1716" i="5"/>
  <c r="V1723" i="5"/>
  <c r="G1723" i="5" s="1"/>
  <c r="AB1727" i="5"/>
  <c r="V1736" i="5"/>
  <c r="V1760" i="5"/>
  <c r="G1760" i="5" s="1"/>
  <c r="T1546" i="5"/>
  <c r="AB1550" i="5"/>
  <c r="T1551" i="5"/>
  <c r="H1553" i="5"/>
  <c r="G1557" i="5"/>
  <c r="G1561" i="5"/>
  <c r="G1565" i="5"/>
  <c r="G1569" i="5"/>
  <c r="G1573" i="5"/>
  <c r="G1581" i="5"/>
  <c r="G1585" i="5"/>
  <c r="G1589"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I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1" i="5"/>
  <c r="J1649" i="5"/>
  <c r="J1653" i="5"/>
  <c r="J1657" i="5"/>
  <c r="J1661" i="5"/>
  <c r="J1665" i="5"/>
  <c r="J1673" i="5"/>
  <c r="J1677" i="5"/>
  <c r="J1681" i="5"/>
  <c r="J1685" i="5"/>
  <c r="J1689" i="5"/>
  <c r="J1701" i="5"/>
  <c r="J1705" i="5"/>
  <c r="J1709" i="5"/>
  <c r="J1713" i="5"/>
  <c r="J1717" i="5"/>
  <c r="J1721" i="5"/>
  <c r="J1725"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20" i="5"/>
  <c r="R2024" i="5"/>
  <c r="R2028" i="5"/>
  <c r="R2032" i="5"/>
  <c r="R2036" i="5"/>
  <c r="R2040" i="5"/>
  <c r="R2044" i="5"/>
  <c r="R2048" i="5"/>
  <c r="V2052" i="5"/>
  <c r="I2053" i="5"/>
  <c r="T2055" i="5"/>
  <c r="V2060" i="5"/>
  <c r="I2061" i="5"/>
  <c r="T2063" i="5"/>
  <c r="V2068" i="5"/>
  <c r="I2069" i="5"/>
  <c r="T2071" i="5"/>
  <c r="V2076"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G2312" i="5"/>
  <c r="AB2315" i="5"/>
  <c r="E2318" i="5"/>
  <c r="X2318" i="5" s="1"/>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H2310" i="5" l="1"/>
  <c r="J2318" i="5"/>
  <c r="R2016" i="5"/>
  <c r="E1967" i="5"/>
  <c r="X1967" i="5" s="1"/>
  <c r="J1593" i="5"/>
  <c r="F1403" i="5"/>
  <c r="E1339" i="5"/>
  <c r="X1339" i="5" s="1"/>
  <c r="I650" i="5"/>
  <c r="E650" i="5"/>
  <c r="X650" i="5" s="1"/>
  <c r="R419" i="5"/>
  <c r="E395" i="5"/>
  <c r="X395" i="5" s="1"/>
  <c r="J987" i="5"/>
  <c r="J215" i="5"/>
  <c r="R2310" i="5"/>
  <c r="R2318" i="5"/>
  <c r="H2077" i="5"/>
  <c r="R1593" i="5"/>
  <c r="H1724" i="5"/>
  <c r="G1593" i="5"/>
  <c r="F1593" i="5"/>
  <c r="R1067" i="5"/>
  <c r="I1339" i="5"/>
  <c r="F982" i="5"/>
  <c r="I829" i="5"/>
  <c r="I1403" i="5"/>
  <c r="E2016" i="5"/>
  <c r="X2016" i="5" s="1"/>
  <c r="R1693" i="5"/>
  <c r="J1633" i="5"/>
  <c r="J1724" i="5"/>
  <c r="I1716" i="5"/>
  <c r="R983" i="5"/>
  <c r="I1067" i="5"/>
  <c r="F1308" i="5"/>
  <c r="I982" i="5"/>
  <c r="F290" i="5"/>
  <c r="E2213" i="5"/>
  <c r="X2213" i="5" s="1"/>
  <c r="H1967" i="5"/>
  <c r="R1724" i="5"/>
  <c r="J1716" i="5"/>
  <c r="I1526" i="5"/>
  <c r="G1308" i="5"/>
  <c r="I1224" i="5"/>
  <c r="J982" i="5"/>
  <c r="I1140" i="5"/>
  <c r="F1067" i="5"/>
  <c r="E2386" i="5"/>
  <c r="X2386" i="5" s="1"/>
  <c r="J2077" i="5"/>
  <c r="I2077" i="5"/>
  <c r="I1967" i="5"/>
  <c r="H1786" i="5"/>
  <c r="E1724" i="5"/>
  <c r="X1724" i="5" s="1"/>
  <c r="R1716" i="5"/>
  <c r="J1526" i="5"/>
  <c r="H1339" i="5"/>
  <c r="I1308" i="5"/>
  <c r="J1224" i="5"/>
  <c r="R982" i="5"/>
  <c r="J1145" i="5"/>
  <c r="G762" i="5"/>
  <c r="H395" i="5"/>
  <c r="F1309" i="5"/>
  <c r="H1633" i="5"/>
  <c r="J1967" i="5"/>
  <c r="F1786" i="5"/>
  <c r="J1693" i="5"/>
  <c r="H1593" i="5"/>
  <c r="E1716" i="5"/>
  <c r="X1716" i="5" s="1"/>
  <c r="F1526" i="5"/>
  <c r="E1526" i="5"/>
  <c r="X1526" i="5" s="1"/>
  <c r="J1339" i="5"/>
  <c r="J1308" i="5"/>
  <c r="I915" i="5"/>
  <c r="H419" i="5"/>
  <c r="J395" i="5"/>
  <c r="E189" i="5"/>
  <c r="X189" i="5" s="1"/>
  <c r="E1633" i="5"/>
  <c r="X1633" i="5" s="1"/>
  <c r="R1967" i="5"/>
  <c r="R1403" i="5"/>
  <c r="R1339" i="5"/>
  <c r="R1308" i="5"/>
  <c r="R395" i="5"/>
  <c r="H987" i="5"/>
  <c r="E265" i="5"/>
  <c r="X265" i="5" s="1"/>
  <c r="B32" i="6"/>
  <c r="C11" i="6"/>
  <c r="C12" i="6"/>
  <c r="C10" i="6"/>
  <c r="C7" i="6"/>
  <c r="C9" i="6"/>
  <c r="C8"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F67" i="6" s="1"/>
  <c r="X18" i="5"/>
  <c r="B52" i="6"/>
  <c r="G52" i="6" s="1"/>
  <c r="B37" i="6"/>
  <c r="G37" i="6" s="1"/>
  <c r="B42" i="6"/>
  <c r="G42" i="6" s="1"/>
  <c r="B40" i="6"/>
  <c r="G40" i="6" s="1"/>
  <c r="B50" i="6"/>
  <c r="G50" i="6" s="1"/>
  <c r="B25" i="6"/>
  <c r="G25" i="6" s="1"/>
  <c r="H25" i="6" s="1"/>
  <c r="B35" i="6"/>
  <c r="G35" i="6" s="1"/>
  <c r="C15" i="5"/>
  <c r="C8"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G21" i="6"/>
  <c r="H21" i="6" s="1"/>
  <c r="K67"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41" i="6"/>
  <c r="J2479" i="5"/>
  <c r="I2479" i="5"/>
  <c r="E2479" i="5"/>
  <c r="X2479" i="5" s="1"/>
  <c r="R2479" i="5"/>
  <c r="H2479" i="5"/>
  <c r="G2479" i="5"/>
  <c r="F2479" i="5"/>
  <c r="F45" i="6"/>
  <c r="F66" i="6"/>
  <c r="F50" i="6"/>
  <c r="H50" i="6" s="1"/>
  <c r="D50" i="6" s="1"/>
  <c r="F30" i="6"/>
  <c r="F35" i="6"/>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F34" i="6"/>
  <c r="F39" i="6"/>
  <c r="F65" i="6"/>
  <c r="F49" i="6"/>
  <c r="F29" i="6"/>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1" i="6" l="1"/>
  <c r="D41" i="6" s="1"/>
  <c r="H44" i="6"/>
  <c r="D44" i="6" s="1"/>
  <c r="F46" i="6"/>
  <c r="H26" i="6"/>
  <c r="F54" i="6"/>
  <c r="F62" i="6" s="1"/>
  <c r="H62" i="6" s="1"/>
  <c r="H42" i="6"/>
  <c r="D42" i="6" s="1"/>
  <c r="H35" i="6"/>
  <c r="D35" i="6" s="1"/>
  <c r="F51" i="6"/>
  <c r="H51" i="6" s="1"/>
  <c r="D51" i="6" s="1"/>
  <c r="F31" i="6"/>
  <c r="H31" i="6" s="1"/>
  <c r="C31" i="6" s="1"/>
  <c r="H29" i="6"/>
  <c r="C29" i="6" s="1"/>
  <c r="H39" i="6"/>
  <c r="D39" i="6" s="1"/>
  <c r="F36" i="6"/>
  <c r="H36" i="6" s="1"/>
  <c r="D36" i="6" s="1"/>
  <c r="H45" i="6"/>
  <c r="D45" i="6" s="1"/>
  <c r="H46" i="6"/>
  <c r="D46" i="6" s="1"/>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G68" i="6" s="1"/>
  <c r="H68" i="6" s="1"/>
  <c r="D68" i="6" s="1"/>
  <c r="V13" i="5"/>
  <c r="G13" i="5" s="1"/>
  <c r="V7" i="5"/>
  <c r="F69" i="6"/>
  <c r="C69" i="6" s="1"/>
  <c r="H49" i="6"/>
  <c r="D49" i="6" s="1"/>
  <c r="H34" i="6"/>
  <c r="H32" i="6"/>
  <c r="C45" i="6"/>
  <c r="D19" i="6"/>
  <c r="C19" i="6"/>
  <c r="K65" i="6"/>
  <c r="D24" i="6"/>
  <c r="C24" i="6"/>
  <c r="X100" i="5"/>
  <c r="D27" i="6"/>
  <c r="C27" i="6"/>
  <c r="C36" i="6"/>
  <c r="C42" i="6"/>
  <c r="C40" i="6"/>
  <c r="C41" i="6"/>
  <c r="C20" i="6"/>
  <c r="D20" i="6"/>
  <c r="C2" i="6"/>
  <c r="B2" i="6"/>
  <c r="C46" i="6"/>
  <c r="H54" i="6"/>
  <c r="F60" i="6"/>
  <c r="H60" i="6" s="1"/>
  <c r="F55" i="6"/>
  <c r="C37" i="6"/>
  <c r="D25" i="6"/>
  <c r="C25" i="6"/>
  <c r="D26" i="6"/>
  <c r="C26" i="6"/>
  <c r="D21" i="6"/>
  <c r="C21" i="6"/>
  <c r="D22" i="6"/>
  <c r="C22" i="6"/>
  <c r="H47" i="6"/>
  <c r="D47" i="6" s="1"/>
  <c r="C52" i="6"/>
  <c r="C50" i="6"/>
  <c r="C51" i="6" l="1"/>
  <c r="C35" i="6"/>
  <c r="C39" i="6"/>
  <c r="C44" i="6"/>
  <c r="F63" i="6"/>
  <c r="H63" i="6" s="1"/>
  <c r="F58" i="6"/>
  <c r="H58" i="6" s="1"/>
  <c r="D58" i="6" s="1"/>
  <c r="F57" i="6"/>
  <c r="H57" i="6" s="1"/>
  <c r="D29" i="6"/>
  <c r="F59" i="6"/>
  <c r="H59" i="6" s="1"/>
  <c r="D59" i="6" s="1"/>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C58" i="6"/>
  <c r="D63" i="6"/>
  <c r="C63" i="6"/>
  <c r="C62" i="6"/>
  <c r="D62" i="6"/>
  <c r="C54" i="6"/>
  <c r="D54" i="6"/>
  <c r="D57" i="6"/>
  <c r="C57" i="6"/>
  <c r="F56" i="6"/>
  <c r="H56" i="6" s="1"/>
  <c r="H55" i="6"/>
  <c r="T10" i="5"/>
  <c r="T12" i="5"/>
  <c r="T9" i="5"/>
  <c r="T17" i="5"/>
  <c r="T16" i="5"/>
  <c r="T14" i="5"/>
  <c r="T8" i="5"/>
  <c r="T15" i="5"/>
  <c r="T13" i="5"/>
  <c r="T11" i="5"/>
  <c r="T7" i="5"/>
  <c r="C59" i="6" l="1"/>
  <c r="X13" i="5"/>
  <c r="X10" i="5"/>
  <c r="D65" i="6"/>
  <c r="X9" i="5"/>
  <c r="X12" i="5"/>
  <c r="X14" i="5"/>
  <c r="X17" i="5"/>
  <c r="S17" i="5"/>
  <c r="D66" i="6"/>
  <c r="C67" i="6"/>
  <c r="X11" i="5"/>
  <c r="X15" i="5"/>
  <c r="X8" i="5"/>
  <c r="X7" i="5"/>
  <c r="G69" i="6"/>
  <c r="H69" i="6" s="1"/>
  <c r="H70" i="6" s="1"/>
  <c r="D2" i="6" s="1"/>
  <c r="X16" i="5"/>
  <c r="S16" i="5"/>
  <c r="D55" i="6"/>
  <c r="C55" i="6"/>
  <c r="D56" i="6"/>
  <c r="C56" i="6"/>
  <c r="S11" i="5"/>
  <c r="S13" i="5"/>
  <c r="S8" i="5"/>
  <c r="S9" i="5"/>
  <c r="S7" i="5"/>
  <c r="S14" i="5"/>
  <c r="S10" i="5"/>
  <c r="S12"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<sst xmlns="http://schemas.openxmlformats.org/spreadsheetml/2006/main" count="21798" uniqueCount="15522">
  <si>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</si>
  <si>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</si>
  <si>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</si>
  <si>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</si>
  <si>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</si>
  <si>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</si>
  <si>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</si>
  <si>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</si>
  <si>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</si>
  <si>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</si>
  <si>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</si>
  <si>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</si>
  <si>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</si>
  <si>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</si>
  <si>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</si>
  <si>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</si>
  <si>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</si>
  <si>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</si>
  <si>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</si>
  <si>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</si>
  <si>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</si>
  <si>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</si>
  <si>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</si>
  <si>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</si>
  <si>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</si>
  <si>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</si>
  <si>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</si>
  <si>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</si>
  <si>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</si>
  <si>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</si>
  <si>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</si>
  <si>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</si>
  <si>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</si>
  <si>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</si>
  <si>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</si>
  <si>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</si>
  <si>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</si>
  <si>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</si>
  <si>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</si>
  <si>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</si>
  <si>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</si>
  <si>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</si>
  <si>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</si>
  <si>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</si>
  <si>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</si>
  <si>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</si>
  <si>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</si>
  <si>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</si>
  <si>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</si>
  <si>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</si>
  <si>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</si>
  <si>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</si>
  <si>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</si>
  <si>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</si>
  <si>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</si>
  <si>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</si>
  <si>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</si>
  <si>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</si>
  <si>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</si>
  <si>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</si>
  <si>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</si>
  <si>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</si>
  <si>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</si>
  <si>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</si>
  <si>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</si>
  <si>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</si>
  <si>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</si>
  <si>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</si>
  <si>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</si>
  <si>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</si>
  <si>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</si>
  <si>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</si>
  <si>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</si>
  <si>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</si>
  <si>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</si>
  <si>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</si>
  <si>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</si>
  <si>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</si>
  <si>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</si>
  <si>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</si>
  <si>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</si>
  <si>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</si>
  <si>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</si>
  <si>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</si>
  <si>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</si>
  <si>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</si>
  <si>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</si>
  <si>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</si>
  <si>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</si>
  <si>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</si>
  <si>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</si>
  <si>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</si>
  <si>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</si>
  <si>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</si>
  <si>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</si>
  <si>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</si>
  <si>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</si>
  <si>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</si>
  <si>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</si>
  <si>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</si>
  <si>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</si>
  <si>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</si>
  <si>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</si>
  <si>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</si>
  <si>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</si>
  <si>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</si>
  <si>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</si>
  <si>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</si>
  <si>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</si>
  <si>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</si>
  <si>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</si>
  <si>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</si>
  <si>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</si>
  <si>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</si>
  <si>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</si>
  <si>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</si>
  <si>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</si>
  <si>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</si>
  <si>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</si>
  <si>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</si>
  <si>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</si>
  <si>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</si>
  <si>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</si>
  <si>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</si>
  <si>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</si>
  <si>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</si>
  <si>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</si>
  <si>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</si>
  <si>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</si>
  <si>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</si>
  <si>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</si>
  <si>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</si>
  <si>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</si>
  <si>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</si>
  <si>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</si>
  <si>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</si>
  <si>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</si>
  <si>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</si>
  <si>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</si>
  <si>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</si>
  <si>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</si>
  <si>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</si>
  <si>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</si>
  <si>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</si>
  <si>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</si>
  <si>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</si>
  <si>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</si>
  <si>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</si>
  <si>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</si>
  <si>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</si>
  <si>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</si>
  <si>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</si>
  <si>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</si>
  <si>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</si>
  <si>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</si>
  <si>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</si>
  <si>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</si>
  <si>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</si>
  <si>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</si>
  <si>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</si>
  <si>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</si>
  <si>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</si>
  <si>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</si>
  <si>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</si>
  <si>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</si>
  <si>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</si>
  <si>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</si>
  <si>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</si>
  <si>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</si>
  <si>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</si>
  <si>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</si>
  <si>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</si>
  <si>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</si>
  <si>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</si>
  <si>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</si>
  <si>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</si>
  <si>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</si>
  <si>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</si>
  <si>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</si>
  <si>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</si>
  <si>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</si>
  <si>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</si>
  <si>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</si>
  <si>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</si>
  <si>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</si>
  <si>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</si>
  <si>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</si>
  <si>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</si>
  <si>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</si>
  <si>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</si>
  <si>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</si>
  <si>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</si>
  <si>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</si>
  <si>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</si>
  <si>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</si>
  <si>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</si>
  <si>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</si>
  <si>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</si>
  <si>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</si>
  <si>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</si>
  <si>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</si>
  <si>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</si>
  <si>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</si>
  <si>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</si>
  <si>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</si>
  <si>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</si>
  <si>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</si>
  <si>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</si>
  <si>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</si>
  <si>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</si>
  <si>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</si>
  <si>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</si>
  <si>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</si>
  <si>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</si>
  <si>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</si>
  <si>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</si>
  <si>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</si>
  <si>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</si>
  <si>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</si>
  <si>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</si>
  <si>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</si>
  <si>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</si>
  <si>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</si>
  <si>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</si>
  <si>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</si>
  <si>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</si>
  <si>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</si>
  <si>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</si>
  <si>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</si>
  <si>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</si>
  <si>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</si>
  <si>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</si>
  <si>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</si>
  <si>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</si>
  <si>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</si>
  <si>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</si>
  <si>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</si>
  <si>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</si>
  <si>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</si>
  <si>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</si>
  <si>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</si>
  <si>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</si>
  <si>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</si>
  <si>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</si>
  <si>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</si>
  <si>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</si>
  <si>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</si>
  <si>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</si>
  <si>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</si>
  <si>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</si>
  <si>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</si>
  <si>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</si>
  <si>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</si>
  <si>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</si>
  <si>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</si>
  <si>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</si>
  <si>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</si>
  <si>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</si>
  <si>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</si>
  <si>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</si>
  <si>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</si>
  <si>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</si>
  <si>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</si>
  <si>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</si>
  <si>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</si>
  <si>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</si>
  <si>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</si>
  <si>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</si>
  <si>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</si>
  <si>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</si>
  <si>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</si>
  <si>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</si>
  <si>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</si>
  <si>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</si>
  <si>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</si>
  <si>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</si>
  <si>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</si>
  <si>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</si>
  <si>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</si>
  <si>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</si>
  <si>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</si>
  <si>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</si>
  <si>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</si>
  <si>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</si>
  <si>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</si>
  <si>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</si>
  <si>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</si>
  <si>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</si>
  <si>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</si>
  <si>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</si>
  <si>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</si>
  <si>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</si>
  <si>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</si>
  <si>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</si>
  <si>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</si>
  <si>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</si>
  <si>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</si>
  <si>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</si>
  <si>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</si>
  <si>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</si>
  <si>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</si>
  <si>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</si>
  <si>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</si>
  <si>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</si>
  <si>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</si>
  <si>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</si>
  <si>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</si>
  <si>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</si>
  <si>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</si>
  <si>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</si>
  <si>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</si>
  <si>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</si>
  <si>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</si>
  <si>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</si>
  <si>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</si>
  <si>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</si>
  <si>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</si>
  <si>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</si>
  <si>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</si>
  <si>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</si>
  <si>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</si>
  <si>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</si>
  <si>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</si>
  <si>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</si>
  <si>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</si>
  <si>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</si>
  <si>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</si>
  <si>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</si>
  <si>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</si>
  <si>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</si>
  <si>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</si>
  <si>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</si>
  <si>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</si>
  <si>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</si>
  <si>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</si>
  <si>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</si>
  <si>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</si>
  <si>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</si>
  <si>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</si>
  <si>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</si>
  <si>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</si>
  <si>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</si>
  <si>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</si>
  <si>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</si>
  <si>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</si>
  <si>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</si>
  <si>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</si>
  <si>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</si>
  <si>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</si>
  <si>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</si>
  <si>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</si>
  <si>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</si>
  <si>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</si>
  <si>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</si>
  <si>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</si>
  <si>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</si>
  <si>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</si>
  <si>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</si>
  <si>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</si>
  <si>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</si>
  <si>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</si>
  <si>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</si>
  <si>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</si>
  <si>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</si>
  <si>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</si>
  <si>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</si>
  <si>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</si>
  <si>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</si>
  <si>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</si>
  <si>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</si>
  <si>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</si>
  <si>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</si>
  <si>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</si>
  <si>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</si>
  <si>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</si>
  <si>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</si>
  <si>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</si>
  <si>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</si>
  <si>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</si>
  <si>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</si>
  <si>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</si>
  <si>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</si>
  <si>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</si>
  <si>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</si>
  <si>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</si>
  <si>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</si>
  <si>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</si>
  <si>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</si>
  <si>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</si>
  <si>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</si>
  <si>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</si>
  <si>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</si>
  <si>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</si>
  <si>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</si>
  <si>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</si>
  <si>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</si>
  <si>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</si>
  <si>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</si>
  <si>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</si>
  <si>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</si>
  <si>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</si>
  <si>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</si>
  <si>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</si>
  <si>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</si>
  <si>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</si>
  <si>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</si>
  <si>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</si>
  <si>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</si>
  <si>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</si>
  <si>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</si>
  <si>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</si>
  <si>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</si>
  <si>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</si>
  <si>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</si>
  <si>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</si>
  <si>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</si>
  <si>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</si>
  <si>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</si>
  <si>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</si>
  <si>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</si>
  <si>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</si>
  <si>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</si>
  <si>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</si>
  <si>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</si>
  <si>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</si>
  <si>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</si>
  <si>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</si>
  <si>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</si>
  <si>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</si>
  <si>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</si>
  <si>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</si>
  <si>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</si>
  <si>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</si>
  <si>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</si>
  <si>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</si>
  <si>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</si>
  <si>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</si>
  <si>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</si>
  <si>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</si>
  <si>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</si>
  <si>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</si>
  <si>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</si>
  <si>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</si>
  <si>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</si>
  <si>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</si>
  <si>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</si>
  <si>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</si>
  <si>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</si>
  <si>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</si>
  <si>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</si>
  <si>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</si>
  <si>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</si>
  <si>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</si>
  <si>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</si>
  <si>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</si>
  <si>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</si>
  <si>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</si>
  <si>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</si>
  <si>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</si>
  <si>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</si>
  <si>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</si>
  <si>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</si>
  <si>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</si>
  <si>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</si>
  <si>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</si>
  <si>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</si>
  <si>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</si>
  <si>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</si>
  <si>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</si>
  <si>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</si>
  <si>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</si>
  <si>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</si>
  <si>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</si>
  <si>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</si>
  <si>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</si>
  <si>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</si>
  <si>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</si>
  <si>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</si>
  <si>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</si>
  <si>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</si>
  <si>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</si>
  <si>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</si>
  <si>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</si>
  <si>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</si>
  <si>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</si>
  <si>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</si>
  <si>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</si>
  <si>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</si>
  <si>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</si>
  <si>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</si>
  <si>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</si>
  <si>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</si>
  <si>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</si>
  <si>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</si>
  <si>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</si>
  <si>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</si>
  <si>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</si>
  <si>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</si>
  <si>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</si>
  <si>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</si>
  <si>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</si>
  <si>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</si>
  <si>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</si>
  <si>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</si>
  <si>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</si>
  <si>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</si>
  <si>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</si>
  <si>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</si>
  <si>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</si>
  <si>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</si>
  <si>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</si>
  <si>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</si>
  <si>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</si>
  <si>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</si>
  <si>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</si>
  <si>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</si>
  <si>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</si>
  <si>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</si>
  <si>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</si>
  <si>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</si>
  <si>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</si>
  <si>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</si>
  <si>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</si>
  <si>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</si>
  <si>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</si>
  <si>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</si>
  <si>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</si>
  <si>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</si>
  <si>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</si>
  <si>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</si>
  <si>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</si>
  <si>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</si>
  <si>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</si>
  <si>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</si>
  <si>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</si>
  <si>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</si>
  <si>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</si>
  <si>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</si>
  <si>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</si>
  <si>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</si>
  <si>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</si>
  <si>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</si>
  <si>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</si>
  <si>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</si>
  <si>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</si>
  <si>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</si>
  <si>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</si>
  <si>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</si>
  <si>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</si>
  <si>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</si>
  <si>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</si>
  <si>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</si>
  <si>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</si>
  <si>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</si>
  <si>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</si>
  <si>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</si>
  <si>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</si>
  <si>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</si>
  <si>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</si>
  <si>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</si>
  <si>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</si>
  <si>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</si>
  <si>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</si>
  <si>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</si>
  <si>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</si>
  <si>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</si>
  <si>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</si>
  <si>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</si>
  <si>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</si>
  <si>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</si>
  <si>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</si>
  <si>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</si>
  <si>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</si>
  <si>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</si>
  <si>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</si>
  <si>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</si>
  <si>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</si>
  <si>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</si>
  <si>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</si>
  <si>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</si>
  <si>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</si>
  <si>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</si>
  <si>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</si>
  <si>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</si>
  <si>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</si>
  <si>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</si>
  <si>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</si>
  <si>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</si>
  <si>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</si>
  <si>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</si>
  <si>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</si>
  <si>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</si>
  <si>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</si>
  <si>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</si>
  <si>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</si>
  <si>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</si>
  <si>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</si>
  <si>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</si>
  <si>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</si>
  <si>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</si>
  <si>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</si>
  <si>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</si>
  <si>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</si>
  <si>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</si>
  <si>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</si>
  <si>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</si>
  <si>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</si>
  <si>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</si>
  <si>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</si>
  <si>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</si>
  <si>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</si>
  <si>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</si>
  <si>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</si>
  <si>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</si>
  <si>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</si>
  <si>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</si>
  <si>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</si>
  <si>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</si>
  <si>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</si>
  <si>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</si>
  <si>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</si>
  <si>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</si>
  <si>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</si>
  <si>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</si>
  <si>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</si>
  <si>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</si>
  <si>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</si>
  <si>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</si>
  <si>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</si>
  <si>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</si>
  <si>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</si>
  <si>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</si>
  <si>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</si>
  <si>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</si>
  <si>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</si>
  <si>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</si>
  <si>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</si>
  <si>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</si>
  <si>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</si>
  <si>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</si>
  <si>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</si>
  <si>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</si>
  <si>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</si>
  <si>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</si>
  <si>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</si>
  <si>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</si>
  <si>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</si>
  <si>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</si>
  <si>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</si>
  <si>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</si>
  <si>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</si>
  <si>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</si>
  <si>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</si>
  <si>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</si>
  <si>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</si>
  <si>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</si>
  <si>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</si>
  <si>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</si>
  <si>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</si>
  <si>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</si>
  <si>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</si>
  <si>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</si>
  <si>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</si>
  <si>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</si>
  <si>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</si>
  <si>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</si>
  <si>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</si>
  <si>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</si>
  <si>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</si>
  <si>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</si>
  <si>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</si>
  <si>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</si>
  <si>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</si>
  <si>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</si>
  <si>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</si>
  <si>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</si>
  <si>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</si>
  <si>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</si>
  <si>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</si>
  <si>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</si>
  <si>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</si>
  <si>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</si>
  <si>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</si>
  <si>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</si>
  <si>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</si>
  <si>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</si>
  <si>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</si>
  <si>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</si>
  <si>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</si>
  <si>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</si>
  <si>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</si>
  <si>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</si>
  <si>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</si>
  <si>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</si>
  <si>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</si>
  <si>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</si>
  <si>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</si>
  <si>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</si>
  <si>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</si>
  <si>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</si>
  <si>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</si>
  <si>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</si>
  <si>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</si>
  <si>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</si>
  <si>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</si>
  <si>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</si>
  <si>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</si>
  <si>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</si>
  <si>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</si>
  <si>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</si>
  <si>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</si>
  <si>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</si>
  <si>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</si>
  <si>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</si>
  <si>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</si>
  <si>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</si>
  <si>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</si>
  <si>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</si>
  <si>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</si>
  <si>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</si>
  <si>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</si>
  <si>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</si>
  <si>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</si>
  <si>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</si>
  <si>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</si>
  <si>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</si>
  <si>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</si>
  <si>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</si>
  <si>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</si>
  <si>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</si>
  <si>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</si>
  <si>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</si>
  <si>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</si>
  <si>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</si>
  <si>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</si>
  <si>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</si>
  <si>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</si>
  <si>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</si>
  <si>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</si>
  <si>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</si>
  <si>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</si>
  <si>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</si>
  <si>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</si>
  <si>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</si>
  <si>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</si>
  <si>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</si>
  <si>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</si>
  <si>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</si>
  <si>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</si>
  <si>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</si>
  <si>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</si>
  <si>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</si>
  <si>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</si>
  <si>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</si>
  <si>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</si>
  <si>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</si>
  <si>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</si>
  <si>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</si>
  <si>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</si>
  <si>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</si>
  <si>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</si>
  <si>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</si>
  <si>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</si>
  <si>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</si>
  <si>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</si>
  <si>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</si>
  <si>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</si>
  <si>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</si>
  <si>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</si>
  <si>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</si>
  <si>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</si>
  <si>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</si>
  <si>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</si>
  <si>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</si>
  <si>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</si>
  <si>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</si>
  <si>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</si>
  <si>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</si>
  <si>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</si>
  <si>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</si>
  <si>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</si>
  <si>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</si>
  <si>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</si>
  <si>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</si>
  <si>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</si>
  <si>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</si>
  <si>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</si>
  <si>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</si>
  <si>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</si>
  <si>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</si>
  <si>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</si>
  <si>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</si>
  <si>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</si>
  <si>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</si>
  <si>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</si>
  <si>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</si>
  <si>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</si>
  <si>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</si>
  <si>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</si>
  <si>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</si>
  <si>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</si>
  <si>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</si>
  <si>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</si>
  <si>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</si>
  <si>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</si>
  <si>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</si>
  <si>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</si>
  <si>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</si>
  <si>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</si>
  <si>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</si>
  <si>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</si>
  <si>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</si>
  <si>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</si>
  <si>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</si>
  <si>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</si>
  <si>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</si>
  <si>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</si>
  <si>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</si>
  <si>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</si>
  <si>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</si>
  <si>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</si>
  <si>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</si>
  <si>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</si>
  <si>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</si>
  <si>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</si>
  <si>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</si>
  <si>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</si>
  <si>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</si>
  <si>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</si>
  <si>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</si>
  <si>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</si>
  <si>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</si>
  <si>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</si>
  <si>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</si>
  <si>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</si>
  <si>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</si>
  <si>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</si>
  <si>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</si>
  <si>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</si>
  <si>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</si>
  <si>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</si>
  <si>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</si>
  <si>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</si>
  <si>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</si>
  <si>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</si>
  <si>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</si>
  <si>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</si>
  <si>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</si>
  <si>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</si>
  <si>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</si>
  <si>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</si>
  <si>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</si>
  <si>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</si>
  <si>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</si>
  <si>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</si>
  <si>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</si>
  <si>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</si>
  <si>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</si>
  <si>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</si>
  <si>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</si>
  <si>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</si>
  <si>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</si>
  <si>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</si>
  <si>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</si>
  <si>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</si>
  <si>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</si>
  <si>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</si>
  <si>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</si>
  <si>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</si>
  <si>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</si>
  <si>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</si>
  <si>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</si>
  <si>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</si>
  <si>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</si>
  <si>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</si>
  <si>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</si>
  <si>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</si>
  <si>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</si>
  <si>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</si>
  <si>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</si>
  <si>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</si>
  <si>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</si>
  <si>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</si>
  <si>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</si>
  <si>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</si>
  <si>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</si>
  <si>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</si>
  <si>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</si>
  <si>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</si>
  <si>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</si>
  <si>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</si>
  <si>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</si>
  <si>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</si>
  <si>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</si>
  <si>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</si>
  <si>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</si>
  <si>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</si>
  <si>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</si>
  <si>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</si>
  <si>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</si>
  <si>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</si>
  <si>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</si>
  <si>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</si>
  <si>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</si>
  <si>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</si>
  <si>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</si>
  <si>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</si>
  <si>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</si>
  <si>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</si>
  <si>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</si>
  <si>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</si>
  <si>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</si>
  <si>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</si>
  <si>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</si>
  <si>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</si>
  <si>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</si>
  <si>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</si>
  <si>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</si>
  <si>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</si>
  <si>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</si>
  <si>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</si>
  <si>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</si>
  <si>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</si>
  <si>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</si>
  <si>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</si>
  <si>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</si>
  <si>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</si>
  <si>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</si>
  <si>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</si>
  <si>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</si>
  <si>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</si>
  <si>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</si>
  <si>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</si>
  <si>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</si>
  <si>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</si>
  <si>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</si>
  <si>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</si>
  <si>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</si>
  <si>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</si>
  <si>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</si>
  <si>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</si>
  <si>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</si>
  <si>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</si>
  <si>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</si>
  <si>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</si>
  <si>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</si>
  <si>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</si>
  <si>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</si>
  <si>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</si>
  <si>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</si>
  <si>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</si>
  <si>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</si>
  <si>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</si>
  <si>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</si>
  <si>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</si>
  <si>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</si>
  <si>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</si>
  <si>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</si>
  <si>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</si>
  <si>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</si>
  <si>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</si>
  <si>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</si>
  <si>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</si>
  <si>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</si>
  <si>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</si>
  <si>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</si>
  <si>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</si>
  <si>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</si>
  <si>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</si>
  <si>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</si>
  <si>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</si>
  <si>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</si>
  <si>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</si>
  <si>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</si>
  <si>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</si>
  <si>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</si>
  <si>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</si>
  <si>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</si>
  <si>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</si>
  <si>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</si>
  <si>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</si>
  <si>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</si>
  <si>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</si>
  <si>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</si>
  <si>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</si>
  <si>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</si>
  <si>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</si>
  <si>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</si>
  <si>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</si>
  <si>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</si>
  <si>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</si>
  <si>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</si>
  <si>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</si>
  <si>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</si>
  <si>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</si>
  <si>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</si>
  <si>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</si>
  <si>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</si>
  <si>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</si>
  <si>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</si>
  <si>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</si>
  <si>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</si>
  <si>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</si>
  <si>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</si>
  <si>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</si>
  <si>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</si>
  <si>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</si>
  <si>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</si>
  <si>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</si>
  <si>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</si>
  <si>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</si>
  <si>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</si>
  <si>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</si>
  <si>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</si>
  <si>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</si>
  <si>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</si>
  <si>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</si>
  <si>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</si>
  <si>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</si>
  <si>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</si>
  <si>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</si>
  <si>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</si>
  <si>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</si>
  <si>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</si>
  <si>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</si>
  <si>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</si>
  <si>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</si>
  <si>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</si>
  <si>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</si>
  <si>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</si>
  <si>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</si>
  <si>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</si>
  <si>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</si>
  <si>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</si>
  <si>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</si>
  <si>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</si>
  <si>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</si>
  <si>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</si>
  <si>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</si>
  <si>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</si>
  <si>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</si>
  <si>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</si>
  <si>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</si>
  <si>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</si>
  <si>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</si>
  <si>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</si>
  <si>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</si>
  <si>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</si>
  <si>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</si>
  <si>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</si>
  <si>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</si>
  <si>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</si>
  <si>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</si>
  <si>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</si>
  <si>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</si>
  <si>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</si>
  <si>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</si>
  <si>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</si>
  <si>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</si>
  <si>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</si>
  <si>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</si>
  <si>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</si>
  <si>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</si>
  <si>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</si>
  <si>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</si>
  <si>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</si>
  <si>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</si>
  <si>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</si>
  <si>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</si>
  <si>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</si>
  <si>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</si>
  <si>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</si>
  <si>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</si>
  <si>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</si>
  <si>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</si>
  <si>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</si>
  <si>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</si>
  <si>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</si>
  <si>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</si>
  <si>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</si>
  <si>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</si>
  <si>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</si>
  <si>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</si>
  <si>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</si>
  <si>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</si>
  <si>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</si>
  <si>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</si>
  <si>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</si>
  <si>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</si>
  <si>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</si>
  <si>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</si>
  <si>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</si>
  <si>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</si>
  <si>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</si>
  <si>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</si>
  <si>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</si>
  <si>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</si>
  <si>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</si>
  <si>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</si>
  <si>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</si>
  <si>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</si>
  <si>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</si>
  <si>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</si>
  <si>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</si>
  <si>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</si>
  <si>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</si>
  <si>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</si>
  <si>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</si>
  <si>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</si>
  <si>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</si>
  <si>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</si>
  <si>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</si>
  <si>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</si>
  <si>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</si>
  <si>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</si>
  <si>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</si>
  <si>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</si>
  <si>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</si>
  <si>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</si>
  <si>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</si>
  <si>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</si>
  <si>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</si>
  <si>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</si>
  <si>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</si>
  <si>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</si>
  <si>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</si>
  <si>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</si>
  <si>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</si>
  <si>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</si>
  <si>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</si>
  <si>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</si>
  <si>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</si>
  <si>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</si>
  <si>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</si>
  <si>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</si>
  <si>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</si>
  <si>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</si>
  <si>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</si>
  <si>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</si>
  <si>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</si>
  <si>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</si>
  <si>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</si>
  <si>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</si>
  <si>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</si>
  <si>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</si>
  <si>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</si>
  <si>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</si>
  <si>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</si>
  <si>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</si>
  <si>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</si>
  <si>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</si>
  <si>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</si>
  <si>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</si>
  <si>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</si>
  <si>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</si>
  <si>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</si>
  <si>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</si>
  <si>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</si>
  <si>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</si>
  <si>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</si>
  <si>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</si>
  <si>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</si>
  <si>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</si>
  <si>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</si>
  <si>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</si>
  <si>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</si>
  <si>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</si>
  <si>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</si>
  <si>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</si>
  <si>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</si>
  <si>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</si>
  <si>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</si>
  <si>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</si>
  <si>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</si>
  <si>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</si>
  <si>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</si>
  <si>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</si>
  <si>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</si>
  <si>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</si>
  <si>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</si>
  <si>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</si>
  <si>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</si>
  <si>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</si>
  <si>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</si>
  <si>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</si>
  <si>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</si>
  <si>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</si>
  <si>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</si>
  <si>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</si>
  <si>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</si>
  <si>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</si>
  <si>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</si>
  <si>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</si>
  <si>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</si>
  <si>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</si>
  <si>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</si>
  <si>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</si>
  <si>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</si>
  <si>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</si>
  <si>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</si>
  <si>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</si>
  <si>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</si>
  <si>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</si>
  <si>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</si>
  <si>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</si>
  <si>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</si>
  <si>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</si>
  <si>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</si>
  <si>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</si>
  <si>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</si>
  <si>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</si>
  <si>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</si>
  <si>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</si>
  <si>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</si>
  <si>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</si>
  <si>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</si>
  <si>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</si>
  <si>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</si>
  <si>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</si>
  <si>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</si>
  <si>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</si>
  <si>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</si>
  <si>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</si>
  <si>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</si>
  <si>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</si>
  <si>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</si>
  <si>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</si>
  <si>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</si>
  <si>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</si>
  <si>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</si>
  <si>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</si>
  <si>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</si>
  <si>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</si>
  <si>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</si>
  <si>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</si>
  <si>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</si>
  <si>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</si>
  <si>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</si>
  <si>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</si>
  <si>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</si>
  <si>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</si>
  <si>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</si>
  <si>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</si>
  <si>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</si>
  <si>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</si>
  <si>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</si>
  <si>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</si>
  <si>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</si>
  <si>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</si>
  <si>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</si>
  <si>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</si>
  <si>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</si>
  <si>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</si>
  <si>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</si>
  <si>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</si>
  <si>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</si>
  <si>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</si>
  <si>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</si>
  <si>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</si>
  <si>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</si>
  <si>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</si>
  <si>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</si>
  <si>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</si>
  <si>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</si>
  <si>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</si>
  <si>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</si>
  <si>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</si>
  <si>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</si>
  <si>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</si>
  <si>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</si>
  <si>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</si>
  <si>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</si>
  <si>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</si>
  <si>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</si>
  <si>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</si>
  <si>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</si>
  <si>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</si>
  <si>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</si>
  <si>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</si>
  <si>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</si>
  <si>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</si>
  <si>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</si>
  <si>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</si>
  <si>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</si>
  <si>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</si>
  <si>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</si>
  <si>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</si>
  <si>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</si>
  <si>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</si>
  <si>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</si>
  <si>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</si>
  <si>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</si>
  <si>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</si>
  <si>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</si>
  <si>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</si>
  <si>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</si>
  <si>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</si>
  <si>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</si>
  <si>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</si>
  <si>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</si>
  <si>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</si>
  <si>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</si>
  <si>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</si>
  <si>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</si>
  <si>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</si>
  <si>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</si>
  <si>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</si>
  <si>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</si>
  <si>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</si>
  <si>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</si>
  <si>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</si>
  <si>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</si>
  <si>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</si>
  <si>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</si>
  <si>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</si>
  <si>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</si>
  <si>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</si>
  <si>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</si>
  <si>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</si>
  <si>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</si>
  <si>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</si>
  <si>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</si>
  <si>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</si>
  <si>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</si>
  <si>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</si>
  <si>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</si>
  <si>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</si>
  <si>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</si>
  <si>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</si>
  <si>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</si>
  <si>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</si>
  <si>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</si>
  <si>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</si>
  <si>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</si>
  <si>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</si>
  <si>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</si>
  <si>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</si>
  <si>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</si>
  <si>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</si>
  <si>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</si>
  <si>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</si>
  <si>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</si>
  <si>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</si>
  <si>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</si>
  <si>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</si>
  <si>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</si>
  <si>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</si>
  <si>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</si>
  <si>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</si>
  <si>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</si>
  <si>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</si>
  <si>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</si>
  <si>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</si>
  <si>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</si>
  <si>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</si>
  <si>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</si>
  <si>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</si>
  <si>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</si>
  <si>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</si>
  <si>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</si>
  <si>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</si>
  <si>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</si>
  <si>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</si>
  <si>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</si>
  <si>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</si>
  <si>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</si>
  <si>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</si>
  <si>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</si>
  <si>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</si>
  <si>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</si>
  <si>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</si>
  <si>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</si>
  <si>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</si>
  <si>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</si>
  <si>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</si>
  <si>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</si>
  <si>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</si>
  <si>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</si>
  <si>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</si>
  <si>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</si>
  <si>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</si>
  <si>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</si>
  <si>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</si>
  <si>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</si>
  <si>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</si>
  <si>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</si>
  <si>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</si>
  <si>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</si>
  <si>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</si>
  <si>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</si>
  <si>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</si>
  <si>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</si>
  <si>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</si>
  <si>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</si>
  <si>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</si>
  <si>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</si>
  <si>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</si>
  <si>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</si>
  <si>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</si>
  <si>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</si>
  <si>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</si>
  <si>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</si>
  <si>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</si>
  <si>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</si>
  <si>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</si>
  <si>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</si>
  <si>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</si>
  <si>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</si>
  <si>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</si>
  <si>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</si>
  <si>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</si>
  <si>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</si>
  <si>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</si>
  <si>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</si>
  <si>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</si>
  <si>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</si>
  <si>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</si>
  <si>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</si>
  <si>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</si>
  <si>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</si>
  <si>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</si>
  <si>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</si>
  <si>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</si>
  <si>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</si>
  <si>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</si>
  <si>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</si>
  <si>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</si>
  <si>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</si>
  <si>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</si>
  <si>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</si>
  <si>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</si>
  <si>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</si>
  <si>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</si>
  <si>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</si>
  <si>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</si>
  <si>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</si>
  <si>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</si>
  <si>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</si>
  <si>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</si>
  <si>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</si>
  <si>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</si>
  <si>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</si>
  <si>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</si>
  <si>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</si>
  <si>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</si>
  <si>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</si>
  <si>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</si>
  <si>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</si>
  <si>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</si>
  <si>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</si>
  <si>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</si>
  <si>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</si>
  <si>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</si>
  <si>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</si>
  <si>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</si>
  <si>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</si>
  <si>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</si>
  <si>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</si>
  <si>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</si>
  <si>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</si>
  <si>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</si>
  <si>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</si>
  <si>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</si>
  <si>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</si>
  <si>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</si>
  <si>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</si>
  <si>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</si>
  <si>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</si>
  <si>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</si>
  <si>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</si>
  <si>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</si>
  <si>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</si>
  <si>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</si>
  <si>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</si>
  <si>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</si>
  <si>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</si>
  <si>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</si>
  <si>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</si>
  <si>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</si>
  <si>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</si>
  <si>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</si>
  <si>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</si>
  <si>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</si>
  <si>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</si>
  <si>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</si>
  <si>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</si>
  <si>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</si>
  <si>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</si>
  <si>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</si>
  <si>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</si>
  <si>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</si>
  <si>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</si>
  <si>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</si>
  <si>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</si>
  <si>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</si>
  <si>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</si>
  <si>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</si>
  <si>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</si>
  <si>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</si>
  <si>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</si>
  <si>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</si>
  <si>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</si>
  <si>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</si>
  <si>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</si>
  <si>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</si>
  <si>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</si>
  <si>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</si>
  <si>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</si>
  <si>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</si>
  <si>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</si>
  <si>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</si>
  <si>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</si>
  <si>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</si>
  <si>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</si>
  <si>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</si>
  <si>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</si>
  <si>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</si>
  <si>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</si>
  <si>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</si>
  <si>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</si>
  <si>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</si>
  <si>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</si>
  <si>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</si>
  <si>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</si>
  <si>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</si>
  <si>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</si>
  <si>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</si>
  <si>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</si>
  <si>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</si>
  <si>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</si>
  <si>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</si>
  <si>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</si>
  <si>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</si>
  <si>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</si>
  <si>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</si>
  <si>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</si>
  <si>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</si>
  <si>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</si>
  <si>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</si>
  <si>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</si>
  <si>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</si>
  <si>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</si>
  <si>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</si>
  <si>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</si>
  <si>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</si>
  <si>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</si>
  <si>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</si>
  <si>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</si>
  <si>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</si>
  <si>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</si>
  <si>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</si>
  <si>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</si>
  <si>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</si>
  <si>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</si>
  <si>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</si>
  <si>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</si>
  <si>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</si>
  <si>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</si>
  <si>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</si>
  <si>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</si>
  <si>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</si>
  <si>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</si>
  <si>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</si>
  <si>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</si>
  <si>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</si>
  <si>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</si>
  <si>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</si>
  <si>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</si>
  <si>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</si>
  <si>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</si>
  <si>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</si>
  <si>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</si>
  <si>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</si>
  <si>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</si>
  <si>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</si>
  <si>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</si>
  <si>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</si>
  <si>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</si>
  <si>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</si>
  <si>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</si>
  <si>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</si>
  <si>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</si>
  <si>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</si>
  <si>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</si>
  <si>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</si>
  <si>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</si>
  <si>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</si>
  <si>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</si>
  <si>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</si>
  <si>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</si>
  <si>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</si>
  <si>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</si>
  <si>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</si>
  <si>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</si>
  <si>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</si>
  <si>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</si>
  <si>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</si>
  <si>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</si>
  <si>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</si>
  <si>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</si>
  <si>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</si>
  <si>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</si>
  <si>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</si>
  <si>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</si>
  <si>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</si>
  <si>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</si>
  <si>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</si>
  <si>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</si>
  <si>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</si>
  <si>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</si>
  <si>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</si>
  <si>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</si>
  <si>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</si>
  <si>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</si>
  <si>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</si>
  <si>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</si>
  <si>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</si>
  <si>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</si>
  <si>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</si>
  <si>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</si>
  <si>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</si>
  <si>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</si>
  <si>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</si>
  <si>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</si>
  <si>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</si>
  <si>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</si>
  <si>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</si>
  <si>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</si>
  <si>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</si>
  <si>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</si>
  <si>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</si>
  <si>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</si>
  <si>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</si>
  <si>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</si>
  <si>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</si>
  <si>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</si>
  <si>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</si>
  <si>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</si>
  <si>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</si>
  <si>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</si>
  <si>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</si>
  <si>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</si>
  <si>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</si>
  <si>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</si>
  <si>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</si>
  <si>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</si>
  <si>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</si>
  <si>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</si>
  <si>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</si>
  <si>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</si>
  <si>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</si>
  <si>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</si>
  <si>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</si>
  <si>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</si>
  <si>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</si>
  <si>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</si>
  <si>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</si>
  <si>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</si>
  <si>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</si>
  <si>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</si>
  <si>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</si>
  <si>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</si>
  <si>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</si>
  <si>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</si>
  <si>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</si>
  <si>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</si>
  <si>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</si>
  <si>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</si>
  <si>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</si>
  <si>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</si>
  <si>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</si>
  <si>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</si>
  <si>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</si>
  <si>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</si>
  <si>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</si>
  <si>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</si>
  <si>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</si>
  <si>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</si>
  <si>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</si>
  <si>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</si>
  <si>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</si>
  <si>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</si>
  <si>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</si>
  <si>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</si>
  <si>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</si>
  <si>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</si>
  <si>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</si>
  <si>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</si>
  <si>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</si>
  <si>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</si>
  <si>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</si>
  <si>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</si>
  <si>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</si>
  <si>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</si>
  <si>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</si>
  <si>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</si>
  <si>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</si>
  <si>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</si>
  <si>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</si>
  <si>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</si>
  <si>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</si>
  <si>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</si>
  <si>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</si>
  <si>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</si>
  <si>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</si>
  <si>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</si>
  <si>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</si>
  <si>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</si>
  <si>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</si>
  <si>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</si>
  <si>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</si>
  <si>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</si>
  <si>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</si>
  <si>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</si>
  <si>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</si>
  <si>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</si>
  <si>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</si>
  <si>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</si>
  <si>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</si>
  <si>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</si>
  <si>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</si>
  <si>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</si>
  <si>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</si>
  <si>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</si>
  <si>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</si>
  <si>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</si>
  <si>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</si>
  <si>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</si>
  <si>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</si>
  <si>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</si>
  <si>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</si>
  <si>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</si>
  <si>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</si>
  <si>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</si>
  <si>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</si>
  <si>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</si>
  <si>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</si>
  <si>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</si>
  <si>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</si>
  <si>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</si>
  <si>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</si>
  <si>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</si>
  <si>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</si>
  <si>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</si>
  <si>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</si>
  <si>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</si>
  <si>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</si>
  <si>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</si>
  <si>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</si>
  <si>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</si>
  <si>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</si>
  <si>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</si>
  <si>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</si>
  <si>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</si>
  <si>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</si>
  <si>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</si>
  <si>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</si>
  <si>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</si>
  <si>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</si>
  <si>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</si>
  <si>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</si>
  <si>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</si>
  <si>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</si>
  <si>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</si>
  <si>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</si>
  <si>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</si>
  <si>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</si>
  <si>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</si>
  <si>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</si>
  <si>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</si>
  <si>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</si>
  <si>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</si>
  <si>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</si>
  <si>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</si>
  <si>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</si>
  <si>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</si>
  <si>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</si>
  <si>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</si>
  <si>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</si>
  <si>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</si>
  <si>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</si>
  <si>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</si>
  <si>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</si>
  <si>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</si>
  <si>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</si>
  <si>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</si>
  <si>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</si>
  <si>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</si>
  <si>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</si>
  <si>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</si>
  <si>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</si>
  <si>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</si>
  <si>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</si>
  <si>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</si>
  <si>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</si>
  <si>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</si>
  <si>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</si>
  <si>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</si>
  <si>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</si>
  <si>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</si>
  <si>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</si>
  <si>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</si>
  <si>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</si>
  <si>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</si>
  <si>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</si>
  <si>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</si>
  <si>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</si>
  <si>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</si>
  <si>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</si>
  <si>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</si>
  <si>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</si>
  <si>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</si>
  <si>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</si>
  <si>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</si>
  <si>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</si>
  <si>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</si>
  <si>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</si>
  <si>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</si>
  <si>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</si>
  <si>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</si>
  <si>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</si>
  <si>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</si>
  <si>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</si>
  <si>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</si>
  <si>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</si>
  <si>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</si>
  <si>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</si>
  <si>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</si>
  <si>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</si>
  <si>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</si>
  <si>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</si>
  <si>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</si>
  <si>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</si>
  <si>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</si>
  <si>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</si>
  <si>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</si>
  <si>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</si>
  <si>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</si>
  <si>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</si>
  <si>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</si>
  <si>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</si>
  <si>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</si>
  <si>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</si>
  <si>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</si>
  <si>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</si>
  <si>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</si>
  <si>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</si>
  <si>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</si>
  <si>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</si>
  <si>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</si>
  <si>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</si>
  <si>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</si>
  <si>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</si>
  <si>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</si>
  <si>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</si>
  <si>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</si>
  <si>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</si>
  <si>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</si>
  <si>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</si>
  <si>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</si>
  <si>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</si>
  <si>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</si>
  <si>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</si>
  <si>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</si>
  <si>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</si>
  <si>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</si>
  <si>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</si>
  <si>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</si>
  <si>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</si>
  <si>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</si>
  <si>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</si>
  <si>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</si>
  <si>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</si>
  <si>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</si>
  <si>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</si>
  <si>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</si>
  <si>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</si>
  <si>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</si>
  <si>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</si>
  <si>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</si>
  <si>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</si>
  <si>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</si>
  <si>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</si>
  <si>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</si>
  <si>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</si>
  <si>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</si>
  <si>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</si>
  <si>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</si>
  <si>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</si>
  <si>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</si>
  <si>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</si>
  <si>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</si>
  <si>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</si>
  <si>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</si>
  <si>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</si>
  <si>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</si>
  <si>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</si>
  <si>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</si>
  <si>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</si>
  <si>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</si>
  <si>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</si>
  <si>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</si>
  <si>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</si>
  <si>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</si>
  <si>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</si>
  <si>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</si>
  <si>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</si>
  <si>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</si>
  <si>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</si>
  <si>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</si>
  <si>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</si>
  <si>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</si>
  <si>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</si>
  <si>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</si>
  <si>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</si>
  <si>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</si>
  <si>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</si>
  <si>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</si>
  <si>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</si>
  <si>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</si>
  <si>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</si>
  <si>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</si>
  <si>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</si>
  <si>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</si>
  <si>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</si>
  <si>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</si>
  <si>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</si>
  <si>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</si>
  <si>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</si>
  <si>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</si>
  <si>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</si>
  <si>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</si>
  <si>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</si>
  <si>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</si>
  <si>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</si>
  <si>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</si>
  <si>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</si>
  <si>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</si>
  <si>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</si>
  <si>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</si>
  <si>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</si>
  <si>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</si>
  <si>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</si>
  <si>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</si>
  <si>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</si>
  <si>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</si>
  <si>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</si>
  <si>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</si>
  <si>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</si>
  <si>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</si>
  <si>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</si>
  <si>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</si>
  <si>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</si>
  <si>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</si>
  <si>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</si>
  <si>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</si>
  <si>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</si>
  <si>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</si>
  <si>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</si>
  <si>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</si>
  <si>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</si>
  <si>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</si>
  <si>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</si>
  <si>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</si>
  <si>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</si>
  <si>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</si>
  <si>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</si>
  <si>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</si>
  <si>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</si>
  <si>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</si>
  <si>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</si>
  <si>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</si>
  <si>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</si>
  <si>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</si>
  <si>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</si>
  <si>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</si>
  <si>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</si>
  <si>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</si>
  <si>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</si>
  <si>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</si>
  <si>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</si>
  <si>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</si>
  <si>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</si>
  <si>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</si>
  <si>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</si>
  <si>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</si>
  <si>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</si>
  <si>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</si>
  <si>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</si>
  <si>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</si>
  <si>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</si>
  <si>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</si>
  <si>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</si>
  <si>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</si>
  <si>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</si>
  <si>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</si>
  <si>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</si>
  <si>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</si>
  <si>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</si>
  <si>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</si>
  <si>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</si>
  <si>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</si>
  <si>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</si>
  <si>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</si>
  <si>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</si>
  <si>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</si>
  <si>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</si>
  <si>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</si>
  <si>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</si>
  <si>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</si>
  <si>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</si>
  <si>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</si>
  <si>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</si>
  <si>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</si>
  <si>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</si>
  <si>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</si>
  <si>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</si>
  <si>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</si>
  <si>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</si>
  <si>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</si>
  <si>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</si>
  <si>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</si>
  <si>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</si>
  <si>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</si>
  <si>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</si>
  <si>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</si>
  <si>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</si>
  <si>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</si>
  <si>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</si>
  <si>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</si>
  <si>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</si>
  <si>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</si>
  <si>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</si>
  <si>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</si>
  <si>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</si>
  <si>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</si>
  <si>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</si>
  <si>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</si>
  <si>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</si>
  <si>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</si>
  <si>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</si>
  <si>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</si>
  <si>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</si>
  <si>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</si>
  <si>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</si>
  <si>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</si>
  <si>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</si>
  <si>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</si>
  <si>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</si>
  <si>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</si>
  <si>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</si>
  <si>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</si>
  <si>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</si>
  <si>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</si>
  <si>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</si>
  <si>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</si>
  <si>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</si>
  <si>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</si>
  <si>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</si>
  <si>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</si>
  <si>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</si>
  <si>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</si>
  <si>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</si>
  <si>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</si>
  <si>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</si>
  <si>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</si>
  <si>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</si>
  <si>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</si>
  <si>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</si>
  <si>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</si>
  <si>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</si>
  <si>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</si>
  <si>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</si>
  <si>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</si>
  <si>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</si>
  <si>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</si>
  <si>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</si>
  <si>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</si>
  <si>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</si>
  <si>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</si>
  <si>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</si>
  <si>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</si>
  <si>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</si>
  <si>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</si>
  <si>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</si>
  <si>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</si>
  <si>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</si>
  <si>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</si>
  <si>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</si>
  <si>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</si>
  <si>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</si>
  <si>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</si>
  <si>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</si>
  <si>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</si>
  <si>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</si>
  <si>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</si>
  <si>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</si>
  <si>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</si>
  <si>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</si>
  <si>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</si>
  <si>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</si>
  <si>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</si>
  <si>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</si>
  <si>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</si>
  <si>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</si>
  <si>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</si>
  <si>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</si>
  <si>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</si>
  <si>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</si>
  <si>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</si>
  <si>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</si>
  <si>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</si>
  <si>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</si>
  <si>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</si>
  <si>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</si>
  <si>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</si>
  <si>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</si>
  <si>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</si>
  <si>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</si>
  <si>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</si>
  <si>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</si>
  <si>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</si>
  <si>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</si>
  <si>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</si>
  <si>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</si>
  <si>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</si>
  <si>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</si>
  <si>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</si>
  <si>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</si>
  <si>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</si>
  <si>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</si>
  <si>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</si>
  <si>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</si>
  <si>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</si>
  <si>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</si>
  <si>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</si>
  <si>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</si>
  <si>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</si>
  <si>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</si>
  <si>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</si>
  <si>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</si>
  <si>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</si>
  <si>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</si>
  <si>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</si>
  <si>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</si>
  <si>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</si>
  <si>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</si>
  <si>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</si>
  <si>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</si>
  <si>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</si>
  <si>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</si>
  <si>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</si>
  <si>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</si>
  <si>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</si>
  <si>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</si>
  <si>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</si>
  <si>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</si>
  <si>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</si>
  <si>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</si>
  <si>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</si>
  <si>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</si>
  <si>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</si>
  <si>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</si>
  <si>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</si>
  <si>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</si>
  <si>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</si>
  <si>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</si>
  <si>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</si>
  <si>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</si>
  <si>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</si>
  <si>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</si>
  <si>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</si>
  <si>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</si>
  <si>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</si>
  <si>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</si>
  <si>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</si>
  <si>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</si>
  <si>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</si>
  <si>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</si>
  <si>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</si>
  <si>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</si>
  <si>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</si>
  <si>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</si>
  <si>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</si>
  <si>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</si>
  <si>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</si>
  <si>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</si>
  <si>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</si>
  <si>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</si>
  <si>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</si>
  <si>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</si>
  <si>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</si>
  <si>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</si>
  <si>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</si>
  <si>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</si>
  <si>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</si>
  <si>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</si>
  <si>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</si>
  <si>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</si>
  <si>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</si>
  <si>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</si>
  <si>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</si>
  <si>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</si>
  <si>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</si>
  <si>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</si>
  <si>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</si>
  <si>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</si>
  <si>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</si>
  <si>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</si>
  <si>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</si>
  <si>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</si>
  <si>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</si>
  <si>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</si>
  <si>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</si>
  <si>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</si>
  <si>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</si>
  <si>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</si>
  <si>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</si>
  <si>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</si>
  <si>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</si>
  <si>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</si>
  <si>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</si>
  <si>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</si>
  <si>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</si>
  <si>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</si>
  <si>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</si>
  <si>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</si>
  <si>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</si>
  <si>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</si>
  <si>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</si>
  <si>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</si>
  <si>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</si>
  <si>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</si>
  <si>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</si>
  <si>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</si>
  <si>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</si>
  <si>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</si>
  <si>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</si>
  <si>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</si>
  <si>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</si>
  <si>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</si>
  <si>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</si>
  <si>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</si>
  <si>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</si>
  <si>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</si>
  <si>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</si>
  <si>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</si>
  <si>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</si>
  <si>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</si>
  <si>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</si>
  <si>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</si>
  <si>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</si>
  <si>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</si>
  <si>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</si>
  <si>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</si>
  <si>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</si>
  <si>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</si>
  <si>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</si>
  <si>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</si>
  <si>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</si>
  <si>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</si>
  <si>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</si>
  <si>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</si>
  <si>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</si>
  <si>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</si>
  <si>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</si>
  <si>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</si>
  <si>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</si>
  <si>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</si>
  <si>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</si>
  <si>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</si>
  <si>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</si>
  <si>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</si>
  <si>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</si>
  <si>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</si>
  <si>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</si>
  <si>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</si>
  <si>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</si>
  <si>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</si>
  <si>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</si>
  <si>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</si>
  <si>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</si>
  <si>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</si>
  <si>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</si>
  <si>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</si>
  <si>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</si>
  <si>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</si>
  <si>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</si>
  <si>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</si>
  <si>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</si>
  <si>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</si>
  <si>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</si>
  <si>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</si>
  <si>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</si>
  <si>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</si>
  <si>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</si>
  <si>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</si>
  <si>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</si>
  <si>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</si>
  <si>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</si>
  <si>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</si>
  <si>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</si>
  <si>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</si>
  <si>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</si>
  <si>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</si>
  <si>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</si>
  <si>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</si>
  <si>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</si>
  <si>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</si>
  <si>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</si>
  <si>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</si>
  <si>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</si>
  <si>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</si>
  <si>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</si>
  <si>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</si>
  <si>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</si>
  <si>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</si>
  <si>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</si>
  <si>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</si>
  <si>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</si>
  <si>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</si>
  <si>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</si>
  <si>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</si>
  <si>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</si>
  <si>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</si>
  <si>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</si>
  <si>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</si>
  <si>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</si>
  <si>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</si>
  <si>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</si>
  <si>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</si>
  <si>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</si>
  <si>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</si>
  <si>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</si>
  <si>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</si>
  <si>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</si>
  <si>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</si>
  <si>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</si>
  <si>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</si>
  <si>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</si>
  <si>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</si>
  <si>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</si>
  <si>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</si>
  <si>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</si>
  <si>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</si>
  <si>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</si>
  <si>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</si>
  <si>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</si>
  <si>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</si>
  <si>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</si>
  <si>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</si>
  <si>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</si>
  <si>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</si>
  <si>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</si>
  <si>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</si>
  <si>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</si>
  <si>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</si>
  <si>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</si>
  <si>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</si>
  <si>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</si>
  <si>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</si>
  <si>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</si>
  <si>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</si>
  <si>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</si>
  <si>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</si>
  <si>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</si>
  <si>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</si>
  <si>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</si>
  <si>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</si>
  <si>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</si>
  <si>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</si>
  <si>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</si>
  <si>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</si>
  <si>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</si>
  <si>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</si>
  <si>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</si>
  <si>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</si>
  <si>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</si>
  <si>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</si>
  <si>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</si>
  <si>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</si>
  <si>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</si>
  <si>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</si>
  <si>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</si>
  <si>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</si>
  <si>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</si>
  <si>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</si>
  <si>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</si>
  <si>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</si>
  <si>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</si>
  <si>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</si>
  <si>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</si>
  <si>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</si>
  <si>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</si>
  <si>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</si>
  <si>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</si>
  <si>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</si>
  <si>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</si>
  <si>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</si>
  <si>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</si>
  <si>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</si>
  <si>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</si>
  <si>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</si>
  <si>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</si>
  <si>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</si>
  <si>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</si>
  <si>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</si>
  <si>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</si>
  <si>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</si>
  <si>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</si>
  <si>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</si>
  <si>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</si>
  <si>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</si>
  <si>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</si>
  <si>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</si>
  <si>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</si>
  <si>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</si>
  <si>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</si>
  <si>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</si>
  <si>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</si>
  <si>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</si>
  <si>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</si>
  <si>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</si>
  <si>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</si>
  <si>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</si>
  <si>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</si>
  <si>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</si>
  <si>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</si>
  <si>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</si>
  <si>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</si>
  <si>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</si>
  <si>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</si>
  <si>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</si>
  <si>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</si>
  <si>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</si>
  <si>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</si>
  <si>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</si>
  <si>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</si>
  <si>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</si>
  <si>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</si>
  <si>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</si>
  <si>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</si>
  <si>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</si>
  <si>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</si>
  <si>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</si>
  <si>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</si>
  <si>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</si>
  <si>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</si>
  <si>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</si>
  <si>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</si>
  <si>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</si>
  <si>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</si>
  <si>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</si>
  <si>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</si>
  <si>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</si>
  <si>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</si>
  <si>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</si>
  <si>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</si>
  <si>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</si>
  <si>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</si>
  <si>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</si>
  <si>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</si>
  <si>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</si>
  <si>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</si>
  <si>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</si>
  <si>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</si>
  <si>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</si>
  <si>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</si>
  <si>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</si>
  <si>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</si>
  <si>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</si>
  <si>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</si>
  <si>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</si>
  <si>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</si>
  <si>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</si>
  <si>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</si>
  <si>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</si>
  <si>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</si>
  <si>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</si>
  <si>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</si>
  <si>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</si>
  <si>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</si>
  <si>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</si>
  <si>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</si>
  <si>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</si>
  <si>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</si>
  <si>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</si>
  <si>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</si>
  <si>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</si>
  <si>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</si>
  <si>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</si>
  <si>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</si>
  <si>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</si>
  <si>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</si>
  <si>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</si>
  <si>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</si>
  <si>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</si>
  <si>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</si>
  <si>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</si>
  <si>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</si>
  <si>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</si>
  <si>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</si>
  <si>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</si>
  <si>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</si>
  <si>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</si>
  <si>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</si>
  <si>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</si>
  <si>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</si>
  <si>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</si>
  <si>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</si>
  <si>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</si>
  <si>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</si>
  <si>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</si>
  <si>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</si>
  <si>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</si>
  <si>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</si>
  <si>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</si>
  <si>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</si>
  <si>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</si>
  <si>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</si>
  <si>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</si>
  <si>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</si>
  <si>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</si>
  <si>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</si>
  <si>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</si>
  <si>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</si>
  <si>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</si>
  <si>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</si>
  <si>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</si>
  <si>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</si>
  <si>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</si>
  <si>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</si>
  <si>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</si>
  <si>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</si>
  <si>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</si>
  <si>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</si>
  <si>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</si>
  <si>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</si>
  <si>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</si>
  <si>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</si>
  <si>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</si>
  <si>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</si>
  <si>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</si>
  <si>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</si>
  <si>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</si>
  <si>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</si>
  <si>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</si>
  <si>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</si>
  <si>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</si>
  <si>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</si>
  <si>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</si>
  <si>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</si>
  <si>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</si>
  <si>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</si>
  <si>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</si>
  <si>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</si>
  <si>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</si>
  <si>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</si>
  <si>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</si>
  <si>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</si>
  <si>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</si>
  <si>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</si>
  <si>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</si>
  <si>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</si>
  <si>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</si>
  <si>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</si>
  <si>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</si>
  <si>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</si>
  <si>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</si>
  <si>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</si>
  <si>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</si>
  <si>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</si>
  <si>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</si>
  <si>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</si>
  <si>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</si>
  <si>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</si>
  <si>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</si>
  <si>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</si>
  <si>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</si>
  <si>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</si>
  <si>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</si>
  <si>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</si>
  <si>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</si>
  <si>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</si>
  <si>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</si>
  <si>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</si>
  <si>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</si>
  <si>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</si>
  <si>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</si>
  <si>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</si>
  <si>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</si>
  <si>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</si>
  <si>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</si>
  <si>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</si>
  <si>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</si>
  <si>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</si>
  <si>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</si>
  <si>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</si>
  <si>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</si>
  <si>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</si>
  <si>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</si>
  <si>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</si>
  <si>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</si>
  <si>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</si>
  <si>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</si>
  <si>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</si>
  <si>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</si>
  <si>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</si>
  <si>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</si>
  <si>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</si>
  <si>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</si>
  <si>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</si>
  <si>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</si>
  <si>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</si>
  <si>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</si>
  <si>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</si>
  <si>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</si>
  <si>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</si>
  <si>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</si>
  <si>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</si>
  <si>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</si>
  <si>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</si>
  <si>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</si>
  <si>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</si>
  <si>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</si>
  <si>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</si>
  <si>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</si>
  <si>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</si>
  <si>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</si>
  <si>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</si>
  <si>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</si>
  <si>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</si>
  <si>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</si>
  <si>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</si>
  <si>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</si>
  <si>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</si>
  <si>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</si>
  <si>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</si>
  <si>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</si>
  <si>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</si>
  <si>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</si>
  <si>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</si>
  <si>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</si>
  <si>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</si>
  <si>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</si>
  <si>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</si>
  <si>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</si>
  <si>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</si>
  <si>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</si>
  <si>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</si>
  <si>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</si>
  <si>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</si>
  <si>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</si>
  <si>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</si>
  <si>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</si>
  <si>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</si>
  <si>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</si>
  <si>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</si>
  <si>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</si>
  <si>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</si>
  <si>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</si>
  <si>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</si>
  <si>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</si>
  <si>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</si>
  <si>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</si>
  <si>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</si>
  <si>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</si>
  <si>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</si>
  <si>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</si>
  <si>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</si>
  <si>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</si>
  <si>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</si>
  <si>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</si>
  <si>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</si>
  <si>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</si>
  <si>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</si>
  <si>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</si>
  <si>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</si>
  <si>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</si>
  <si>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</si>
  <si>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</si>
  <si>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</si>
  <si>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</si>
  <si>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</si>
  <si>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</si>
  <si>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</si>
  <si>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</si>
  <si>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</si>
  <si>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</si>
  <si>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</si>
  <si>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</si>
  <si>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</si>
  <si>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</si>
  <si>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</si>
  <si>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</si>
  <si>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</si>
  <si>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</si>
  <si>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</si>
  <si>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</si>
  <si>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</si>
  <si>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</si>
  <si>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</si>
  <si>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</si>
  <si>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</si>
  <si>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</si>
  <si>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</si>
  <si>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</si>
  <si>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</si>
  <si>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</si>
  <si>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</si>
  <si>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</si>
  <si>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</si>
  <si>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</si>
  <si>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</si>
  <si>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</si>
  <si>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</si>
  <si>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</si>
  <si>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</si>
  <si>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</si>
  <si>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</si>
  <si>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</si>
  <si>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</si>
  <si>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</si>
  <si>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</si>
  <si>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</si>
  <si>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</si>
  <si>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</si>
  <si>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</si>
  <si>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</si>
  <si>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</si>
  <si>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</si>
  <si>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</si>
  <si>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</si>
  <si>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</si>
  <si>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</si>
  <si>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</si>
  <si>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</si>
  <si>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</si>
  <si>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</si>
  <si>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</si>
  <si>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</si>
  <si>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</si>
  <si>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</si>
  <si>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</si>
  <si>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</si>
  <si>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</si>
  <si>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</si>
  <si>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</si>
  <si>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</si>
  <si>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</si>
  <si>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</si>
  <si>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</si>
  <si>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</si>
  <si>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</si>
  <si>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</si>
  <si>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</si>
  <si>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</si>
  <si>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</si>
  <si>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</si>
  <si>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</si>
  <si>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</si>
  <si>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</si>
  <si>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</si>
  <si>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</si>
  <si>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</si>
  <si>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</si>
  <si>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</si>
  <si>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</si>
  <si>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</si>
  <si>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</si>
  <si>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</si>
  <si>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</si>
  <si>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</si>
  <si>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</si>
  <si>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</si>
  <si>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</si>
  <si>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</si>
  <si>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</si>
  <si>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</si>
  <si>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</si>
  <si>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</si>
  <si>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</si>
  <si>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</si>
  <si>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</si>
  <si>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</si>
  <si>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</si>
  <si>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</si>
  <si>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</si>
  <si>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</si>
  <si>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</si>
  <si>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</si>
  <si>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</si>
  <si>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</si>
  <si>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</si>
  <si>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</si>
  <si>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</si>
  <si>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</si>
  <si>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</si>
  <si>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</si>
  <si>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</si>
  <si>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</si>
  <si>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</si>
  <si>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</si>
  <si>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</si>
  <si>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</si>
  <si>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</si>
  <si>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</si>
  <si>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</si>
  <si>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</si>
  <si>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</si>
  <si>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</si>
  <si>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</si>
  <si>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</si>
  <si>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</si>
  <si>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</si>
  <si>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</si>
  <si>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</si>
  <si>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</si>
  <si>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</si>
  <si>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</si>
  <si>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</si>
  <si>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</si>
  <si>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</si>
  <si>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</si>
  <si>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</si>
  <si>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</si>
  <si>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</si>
  <si>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</si>
  <si>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</si>
  <si>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</si>
  <si>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</si>
  <si>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</si>
  <si>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</si>
  <si>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</si>
  <si>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</si>
  <si>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</si>
  <si>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</si>
  <si>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</si>
  <si>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</si>
  <si>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</si>
  <si>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</si>
  <si>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</si>
  <si>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</si>
  <si>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</si>
  <si>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</si>
  <si>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</si>
  <si>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</si>
  <si>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</si>
  <si>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</si>
  <si>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</si>
  <si>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</si>
  <si>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</si>
  <si>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</si>
  <si>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</si>
  <si>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</si>
  <si>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</si>
  <si>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</si>
  <si>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</si>
  <si>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</si>
  <si>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</si>
  <si>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</si>
  <si>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</si>
  <si>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</si>
  <si>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</si>
  <si>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</si>
  <si>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</si>
  <si>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</si>
  <si>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</si>
  <si>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</si>
  <si>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</si>
  <si>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</si>
  <si>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</si>
  <si>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</si>
  <si>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</si>
  <si>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</si>
  <si>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</si>
  <si>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</si>
  <si>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</si>
  <si>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</si>
  <si>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</si>
  <si>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</si>
  <si>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</si>
  <si>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</si>
  <si>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</si>
  <si>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</si>
  <si>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</si>
  <si>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</si>
  <si>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</si>
  <si>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</si>
  <si>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</si>
  <si>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</si>
  <si>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</si>
  <si>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</si>
  <si>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</si>
  <si>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</si>
  <si>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</si>
  <si>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</si>
  <si>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</si>
  <si>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</si>
  <si>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</si>
  <si>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</si>
  <si>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</si>
  <si>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</si>
  <si>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</si>
  <si>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</si>
  <si>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</si>
  <si>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</si>
  <si>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</si>
  <si>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</si>
  <si>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</si>
  <si>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</si>
  <si>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</si>
  <si>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</si>
  <si>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</si>
  <si>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</si>
  <si>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</si>
  <si>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</si>
  <si>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</si>
  <si>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</si>
  <si>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</si>
  <si>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</si>
  <si>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</si>
  <si>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</si>
  <si>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</si>
  <si>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</si>
  <si>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</si>
  <si>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</si>
  <si>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</si>
  <si>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</si>
  <si>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</si>
  <si>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</si>
  <si>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</si>
  <si>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</si>
  <si>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</si>
  <si>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</si>
  <si>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</si>
  <si>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</si>
  <si>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</si>
  <si>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</si>
  <si>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</si>
  <si>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</si>
  <si>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</si>
  <si>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</si>
  <si>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</si>
  <si>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</si>
  <si>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</si>
  <si>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</si>
  <si>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</si>
  <si>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</si>
  <si>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</si>
  <si>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</si>
  <si>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</si>
  <si>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</si>
  <si>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</si>
  <si>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</si>
  <si>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</si>
  <si>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</si>
  <si>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</si>
  <si>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</si>
  <si>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</si>
  <si>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</si>
  <si>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</si>
  <si>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</si>
  <si>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</si>
  <si>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</si>
  <si>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</si>
  <si>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</si>
  <si>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</si>
  <si>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</si>
  <si>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</si>
  <si>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</si>
  <si>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</si>
  <si>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</si>
  <si>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</si>
  <si>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</si>
  <si>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</si>
  <si>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</si>
  <si>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</si>
  <si>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</si>
  <si>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</si>
  <si>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</si>
  <si>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</si>
  <si>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</si>
  <si>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</si>
  <si>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</si>
  <si>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</si>
  <si>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</si>
  <si>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</si>
  <si>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</si>
  <si>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</si>
  <si>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</si>
  <si>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</si>
  <si>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</si>
  <si>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</si>
  <si>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</si>
  <si>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</si>
  <si>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</si>
  <si>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</si>
  <si>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</si>
  <si>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</si>
  <si>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</si>
  <si>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</si>
  <si>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</si>
  <si>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</si>
  <si>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</si>
  <si>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</si>
  <si>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</si>
  <si>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</si>
  <si>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</si>
  <si>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</si>
  <si>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</si>
  <si>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</si>
  <si>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</si>
  <si>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</si>
  <si>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</si>
  <si>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</si>
  <si>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</si>
  <si>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</si>
  <si>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</si>
  <si>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</si>
  <si>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</si>
  <si>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</si>
  <si>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</si>
  <si>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</si>
  <si>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</si>
  <si>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</si>
  <si>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</si>
  <si>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</si>
  <si>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</si>
  <si>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</si>
  <si>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</si>
  <si>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</si>
  <si>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</si>
  <si>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</si>
  <si>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</si>
  <si>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</si>
  <si>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</si>
  <si>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</si>
  <si>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</si>
  <si>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</si>
  <si>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</si>
  <si>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</si>
  <si>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</si>
  <si>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</si>
  <si>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</si>
  <si>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</si>
  <si>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</si>
  <si>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</si>
  <si>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</si>
  <si>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</si>
  <si>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</si>
  <si>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</si>
  <si>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</si>
  <si>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</si>
  <si>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</si>
  <si>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</si>
  <si>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</si>
  <si>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</si>
  <si>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</si>
  <si>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</si>
  <si>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</si>
  <si>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</si>
  <si>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</si>
  <si>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</si>
  <si>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</si>
  <si>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</si>
  <si>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</si>
  <si>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</si>
  <si>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</si>
  <si>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</si>
  <si>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</si>
  <si>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</si>
  <si>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</si>
  <si>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</si>
  <si>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</si>
  <si>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</si>
  <si>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</si>
  <si>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</si>
  <si>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</si>
  <si>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</si>
  <si>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</si>
  <si>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</si>
  <si>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</si>
  <si>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</si>
  <si>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</si>
  <si>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</si>
  <si>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</si>
  <si>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</si>
  <si>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</si>
  <si>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</si>
  <si>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</si>
  <si>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</si>
  <si>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</si>
  <si>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</si>
  <si>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</si>
  <si>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</si>
  <si>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</si>
  <si>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</si>
  <si>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</si>
  <si>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</si>
  <si>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</si>
  <si>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</si>
  <si>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</si>
  <si>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</si>
  <si>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</si>
  <si>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</si>
  <si>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</si>
  <si>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</si>
  <si>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</si>
  <si>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</si>
  <si>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</si>
  <si>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</si>
  <si>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</si>
  <si>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</si>
  <si>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</si>
  <si>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</si>
  <si>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</si>
  <si>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</si>
  <si>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</si>
  <si>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</si>
  <si>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</si>
  <si>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</si>
  <si>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</si>
  <si>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</si>
  <si>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</si>
  <si>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</si>
  <si>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</si>
  <si>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</si>
  <si>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</si>
  <si>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</si>
  <si>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</si>
  <si>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</si>
  <si>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</si>
  <si>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</si>
  <si>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</si>
  <si>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</si>
  <si>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</si>
  <si>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</si>
  <si>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</si>
  <si>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</si>
  <si>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</si>
  <si>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</si>
  <si>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</si>
  <si>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</si>
  <si>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</si>
  <si>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</si>
  <si>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</si>
  <si>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</si>
  <si>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</si>
  <si>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</si>
  <si>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</si>
  <si>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</si>
  <si>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</si>
  <si>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</si>
  <si>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</si>
  <si>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</si>
  <si>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</si>
  <si>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</si>
  <si>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</si>
  <si>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</si>
  <si>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</si>
  <si>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</si>
  <si>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</si>
  <si>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</si>
  <si>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</si>
  <si>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</si>
  <si>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</si>
  <si>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</si>
  <si>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</si>
  <si>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</si>
  <si>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</si>
  <si>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</si>
  <si>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</si>
  <si>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</si>
  <si>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</si>
  <si>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</si>
  <si>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</si>
  <si>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</si>
  <si>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</si>
  <si>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</si>
  <si>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</si>
  <si>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</si>
  <si>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</si>
  <si>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</si>
  <si>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</si>
  <si>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</si>
  <si>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</si>
  <si>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</si>
  <si>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</si>
  <si>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</si>
  <si>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</si>
  <si>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</si>
  <si>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</si>
  <si>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</si>
  <si>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</si>
  <si>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</si>
  <si>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</si>
  <si>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</si>
  <si>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</si>
  <si>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</si>
  <si>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</si>
  <si>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</si>
  <si>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</si>
  <si>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</si>
  <si>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</si>
  <si>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</si>
  <si>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</si>
  <si>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</si>
  <si>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</si>
  <si>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</si>
  <si>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</si>
  <si>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</si>
  <si>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</si>
  <si>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</si>
  <si>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</si>
  <si>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</si>
  <si>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</si>
  <si>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</si>
  <si>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</si>
  <si>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</si>
  <si>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</si>
  <si>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</si>
  <si>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</si>
  <si>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</si>
  <si>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</si>
  <si>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</si>
  <si>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</si>
  <si>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</si>
  <si>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</si>
  <si>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</si>
  <si>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</si>
  <si>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</si>
  <si>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</si>
  <si>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</si>
  <si>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</si>
  <si>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</si>
  <si>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</si>
  <si>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</si>
  <si>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</si>
  <si>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</si>
  <si>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</si>
  <si>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</si>
  <si>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</si>
  <si>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</si>
  <si>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</si>
  <si>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</si>
  <si>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</si>
  <si>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</si>
  <si>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</si>
  <si>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</si>
  <si>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</si>
  <si>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</si>
  <si>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</si>
  <si>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</si>
  <si>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</si>
  <si>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</si>
  <si>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</si>
  <si>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</si>
  <si>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</si>
  <si>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</si>
  <si>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</si>
  <si>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</si>
  <si>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</si>
  <si>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</si>
  <si>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</si>
  <si>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</si>
  <si>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</si>
  <si>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</si>
  <si>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</si>
  <si>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</si>
  <si>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</si>
  <si>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</si>
  <si>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</si>
  <si>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</si>
  <si>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</si>
  <si>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</si>
  <si>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</si>
  <si>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</si>
  <si>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</si>
  <si>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</si>
  <si>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</si>
  <si>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</si>
  <si>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</si>
  <si>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</si>
  <si>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</si>
  <si>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</si>
  <si>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</si>
  <si>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</si>
  <si>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</si>
  <si>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</si>
  <si>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</si>
  <si>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</si>
  <si>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</si>
  <si>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</si>
  <si>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</si>
  <si>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</si>
  <si>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</si>
  <si>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</si>
  <si>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</si>
  <si>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</si>
  <si>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</si>
  <si>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</si>
  <si>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</si>
  <si>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</si>
  <si>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</si>
  <si>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</si>
  <si>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</si>
  <si>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</si>
  <si>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</si>
  <si>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</si>
  <si>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</si>
  <si>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</si>
  <si>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</si>
  <si>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</si>
  <si>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</si>
  <si>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</si>
  <si>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</si>
  <si>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</si>
  <si>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</si>
  <si>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</si>
  <si>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</si>
  <si>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</si>
  <si>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</si>
  <si>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</si>
  <si>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</si>
  <si>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</si>
  <si>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</si>
  <si>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</si>
  <si>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</si>
  <si>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</si>
  <si>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</si>
  <si>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</si>
  <si>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</si>
  <si>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</si>
  <si>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</si>
  <si>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</si>
  <si>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</si>
  <si>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</si>
  <si>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</si>
  <si>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</si>
  <si>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</si>
  <si>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</si>
  <si>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</si>
  <si>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</si>
  <si>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</si>
  <si>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</si>
  <si>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</si>
  <si>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</si>
  <si>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</si>
  <si>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</si>
  <si>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</si>
  <si>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</si>
  <si>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</si>
  <si>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</si>
  <si>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</si>
  <si>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</si>
  <si>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</si>
  <si>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</si>
  <si>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</si>
  <si>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</si>
  <si>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</si>
  <si>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</si>
  <si>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</si>
  <si>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</si>
  <si>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</si>
  <si>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</si>
  <si>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</si>
  <si>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</si>
  <si>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</si>
  <si>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</si>
  <si>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</si>
  <si>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</si>
  <si>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</si>
  <si>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</si>
  <si>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</si>
  <si>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</si>
  <si>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</si>
  <si>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</si>
  <si>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</si>
  <si>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</si>
  <si>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</si>
  <si>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</si>
  <si>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</si>
  <si>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</si>
  <si>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</si>
  <si>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</si>
  <si>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</si>
  <si>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</si>
  <si>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</si>
  <si>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</si>
  <si>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</si>
  <si>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</si>
  <si>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</si>
  <si>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</si>
  <si>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</si>
  <si>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</si>
  <si>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</si>
  <si>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</si>
  <si>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</si>
  <si>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</si>
  <si>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</si>
  <si>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</si>
  <si>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</si>
  <si>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</si>
  <si>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</si>
  <si>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</si>
  <si>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</si>
  <si>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</si>
  <si>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</si>
  <si>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</si>
  <si>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</si>
  <si>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</si>
  <si>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</si>
  <si>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</si>
  <si>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</si>
  <si>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</si>
  <si>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</si>
  <si>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</si>
  <si>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</si>
  <si>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</si>
  <si>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</si>
  <si>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</si>
  <si>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</si>
  <si>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</si>
  <si>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</si>
  <si>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</si>
  <si>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</si>
  <si>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</si>
  <si>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</si>
  <si>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</si>
  <si>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</si>
  <si>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</si>
  <si>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</si>
  <si>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</si>
  <si>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</si>
  <si>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</si>
  <si>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</si>
  <si>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</si>
  <si>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</si>
  <si>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</si>
  <si>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</si>
  <si>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</si>
  <si>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</si>
  <si>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</si>
  <si>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</si>
  <si>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</si>
  <si>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</si>
  <si>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</si>
  <si>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</si>
  <si>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</si>
  <si>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</si>
  <si>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</si>
  <si>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</si>
  <si>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</si>
  <si>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</si>
  <si>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</si>
  <si>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</si>
  <si>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</si>
  <si>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</si>
  <si>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</si>
  <si>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</si>
  <si>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</si>
  <si>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</si>
  <si>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</si>
  <si>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</si>
  <si>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</si>
  <si>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</si>
  <si>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</si>
  <si>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</si>
  <si>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</si>
  <si>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</si>
  <si>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</si>
  <si>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</si>
  <si>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</si>
  <si>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</si>
  <si>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</si>
  <si>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</si>
  <si>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</si>
  <si>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</si>
  <si>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</si>
  <si>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</si>
  <si>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</si>
  <si>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</si>
  <si>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</si>
  <si>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</si>
  <si>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</si>
  <si>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</si>
  <si>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</si>
  <si>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</si>
  <si>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</si>
  <si>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</si>
  <si>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</si>
  <si>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</si>
  <si>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</si>
  <si>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</si>
  <si>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</si>
  <si>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</si>
  <si>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</si>
  <si>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</si>
  <si>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</si>
  <si>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</si>
  <si>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</si>
  <si>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</si>
  <si>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</si>
  <si>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</si>
  <si>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</si>
  <si>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</si>
  <si>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</si>
  <si>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</si>
  <si>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</si>
  <si>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</si>
  <si>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</si>
  <si>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</si>
  <si>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</si>
  <si>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</si>
  <si>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</si>
  <si>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</si>
  <si>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</si>
  <si>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</si>
  <si>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</si>
  <si>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</si>
  <si>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</si>
  <si>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</si>
  <si>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</si>
  <si>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</si>
  <si>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</si>
  <si>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</si>
  <si>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</si>
  <si>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</si>
  <si>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</si>
  <si>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</si>
  <si>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</si>
  <si>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</si>
  <si>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</si>
  <si>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</si>
  <si>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</si>
  <si>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</si>
  <si>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</si>
  <si>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</si>
  <si>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</si>
  <si>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</si>
  <si>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</si>
  <si>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</si>
  <si>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</si>
  <si>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</si>
  <si>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</si>
  <si>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</si>
  <si>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</si>
  <si>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</si>
  <si>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</si>
  <si>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</si>
  <si>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</si>
  <si>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</si>
  <si>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</si>
  <si>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</si>
  <si>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</si>
  <si>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</si>
  <si>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</si>
  <si>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</si>
  <si>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</si>
  <si>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</si>
  <si>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</si>
  <si>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</si>
  <si>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</si>
  <si>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</si>
  <si>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</si>
  <si>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</si>
  <si>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</si>
  <si>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</si>
  <si>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</si>
  <si>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</si>
  <si>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</si>
  <si>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</si>
  <si>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</si>
  <si>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</si>
  <si>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</si>
  <si>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</si>
  <si>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</si>
  <si>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</si>
  <si>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</si>
  <si>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</si>
  <si>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</si>
  <si>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</si>
  <si>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</si>
  <si>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</si>
  <si>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</si>
  <si>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</si>
  <si>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</si>
  <si>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</si>
  <si>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</si>
  <si>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</si>
  <si>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</si>
  <si>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</si>
  <si>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</si>
  <si>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</si>
  <si>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</si>
  <si>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</si>
  <si>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</si>
  <si>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</si>
  <si>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</si>
  <si>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</si>
  <si>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</si>
  <si>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</si>
  <si>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</si>
  <si>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</si>
  <si>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</si>
  <si>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</si>
  <si>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</si>
  <si>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</si>
  <si>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</si>
  <si>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</si>
  <si>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</si>
  <si>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</si>
  <si>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</si>
  <si>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</si>
  <si>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</si>
  <si>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</si>
  <si>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</si>
  <si>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</si>
  <si>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</si>
  <si>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</si>
  <si>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</si>
  <si>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</si>
  <si>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</si>
  <si>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</si>
  <si>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</si>
  <si>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</si>
  <si>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</si>
  <si>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</si>
  <si>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</si>
  <si>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</si>
  <si>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</si>
  <si>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</si>
  <si>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</si>
  <si>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</si>
  <si>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</si>
  <si>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</si>
  <si>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</si>
  <si>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</si>
  <si>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</si>
  <si>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</si>
  <si>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</si>
  <si>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</si>
  <si>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</si>
  <si>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</si>
  <si>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</si>
  <si>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</si>
  <si>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</si>
  <si>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</si>
  <si>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</si>
  <si>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</si>
  <si>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</si>
  <si>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</si>
  <si>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</si>
  <si>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</si>
  <si>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</si>
  <si>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</si>
  <si>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</si>
  <si>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</si>
  <si>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</si>
  <si>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</si>
  <si>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</si>
  <si>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</si>
  <si>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</si>
  <si>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</si>
  <si>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</si>
  <si>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</si>
  <si>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</si>
  <si>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</si>
  <si>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</si>
  <si>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</si>
  <si>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</si>
  <si>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</si>
  <si>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</si>
  <si>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</si>
  <si>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</si>
  <si>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</si>
  <si>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</si>
  <si>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</si>
  <si>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</si>
  <si>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</si>
  <si>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</si>
  <si>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</si>
  <si>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</si>
  <si>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</si>
  <si>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</si>
  <si>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</si>
  <si>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</si>
  <si>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</si>
  <si>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</si>
  <si>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</si>
  <si>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</si>
  <si>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</si>
  <si>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</si>
  <si>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</si>
  <si>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</si>
  <si>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</si>
  <si>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</si>
  <si>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</si>
  <si>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</si>
  <si>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</si>
  <si>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</si>
  <si>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</si>
  <si>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</si>
  <si>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</si>
  <si>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</si>
  <si>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</si>
  <si>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</si>
  <si>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</si>
  <si>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</si>
  <si>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</si>
  <si>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</si>
  <si>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</si>
  <si>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</si>
  <si>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</si>
  <si>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</si>
  <si>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</si>
  <si>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</si>
  <si>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</si>
  <si>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</si>
  <si>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</si>
  <si>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</si>
  <si>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</si>
  <si>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</si>
  <si>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</si>
  <si>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</si>
  <si>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</si>
  <si>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</si>
  <si>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</si>
  <si>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</si>
  <si>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</si>
  <si>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</si>
  <si>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</si>
  <si>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</si>
  <si>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</si>
  <si>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</si>
  <si>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</si>
  <si>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</si>
  <si>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</si>
  <si>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</si>
  <si>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</si>
  <si>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</si>
  <si>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</si>
  <si>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</si>
  <si>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</si>
  <si>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</si>
  <si>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</si>
  <si>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</si>
  <si>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</si>
  <si>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</si>
  <si>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</si>
  <si>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</si>
  <si>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</si>
  <si>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</si>
  <si>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</si>
  <si>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</si>
  <si>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</si>
  <si>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</si>
  <si>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</si>
  <si>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</si>
  <si>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</si>
  <si>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</si>
  <si>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</si>
  <si>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</si>
  <si>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</si>
  <si>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</si>
  <si>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</si>
  <si>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</si>
  <si>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</si>
  <si>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</si>
  <si>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</si>
  <si>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</si>
  <si>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</si>
  <si>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</si>
  <si>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</si>
  <si>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</si>
  <si>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</si>
  <si>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</si>
  <si>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</si>
  <si>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</si>
  <si>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</si>
  <si>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</si>
  <si>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</si>
  <si>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</si>
  <si>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</si>
  <si>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</si>
  <si>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</si>
  <si>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</si>
  <si>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</si>
  <si>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</si>
  <si>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</si>
  <si>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</si>
  <si>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</si>
  <si>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</si>
  <si>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</si>
  <si>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</si>
  <si>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</si>
  <si>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</si>
  <si>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</si>
  <si>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</si>
  <si>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</si>
  <si>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</si>
  <si>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</si>
  <si>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</si>
  <si>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</si>
  <si>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</si>
  <si>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</si>
  <si>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</si>
  <si>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</si>
  <si>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</si>
  <si>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</si>
  <si>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</si>
  <si>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</si>
  <si>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</si>
  <si>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</si>
  <si>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</si>
  <si>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</si>
  <si>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</si>
  <si>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</si>
  <si>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</si>
  <si>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</si>
  <si>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</si>
  <si>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</si>
  <si>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</si>
  <si>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</si>
  <si>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</si>
  <si>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</si>
  <si>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</si>
  <si>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</si>
  <si>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</si>
  <si>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</si>
  <si>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</si>
  <si>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</si>
  <si>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</si>
  <si>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</si>
  <si>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</si>
  <si>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</si>
  <si>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</si>
  <si>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</si>
  <si>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</si>
  <si>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</si>
  <si>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</si>
  <si>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</si>
  <si>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</si>
  <si>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</si>
  <si>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</si>
  <si>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</si>
  <si>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</si>
  <si>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</si>
  <si>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</si>
  <si>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</si>
  <si>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</si>
  <si>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</si>
  <si>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</si>
  <si>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</si>
  <si>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</si>
  <si>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</si>
  <si>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</si>
  <si>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</si>
  <si>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</si>
  <si>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</si>
  <si>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</si>
  <si>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</si>
  <si>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</si>
  <si>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</si>
  <si>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</si>
  <si>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</si>
  <si>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</si>
  <si>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</si>
  <si>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</si>
  <si>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</si>
  <si>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</si>
  <si>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</si>
  <si>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</si>
  <si>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</si>
  <si>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</si>
  <si>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</si>
  <si>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</si>
  <si>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</si>
  <si>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</si>
  <si>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</si>
  <si>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</si>
  <si>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</si>
  <si>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</si>
  <si>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</si>
  <si>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</si>
  <si>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</si>
  <si>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</si>
  <si>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</si>
  <si>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</si>
  <si>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</si>
  <si>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</si>
  <si>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</si>
  <si>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</si>
  <si>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</si>
  <si>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</si>
  <si>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</si>
  <si>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</si>
  <si>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</si>
  <si>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</si>
  <si>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</si>
  <si>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</si>
  <si>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</si>
  <si>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</si>
  <si>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</si>
  <si>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</si>
  <si>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</si>
  <si>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</si>
  <si>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</si>
  <si>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</si>
  <si>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</si>
  <si>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</si>
  <si>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</si>
  <si>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</si>
  <si>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</si>
  <si>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</si>
  <si>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</si>
  <si>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</si>
  <si>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</si>
  <si>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</si>
  <si>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</si>
  <si>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</si>
  <si>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</si>
  <si>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</si>
  <si>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</si>
  <si>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</si>
  <si>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</si>
  <si>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</si>
  <si>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</si>
  <si>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</si>
  <si>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</si>
  <si>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</si>
  <si>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</si>
  <si>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</si>
  <si>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</si>
  <si>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</si>
  <si>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</si>
  <si>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</si>
  <si>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</si>
  <si>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</si>
  <si>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</si>
  <si>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</si>
  <si>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</si>
  <si>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</si>
  <si>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</si>
  <si>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</si>
  <si>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</si>
  <si>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</si>
  <si>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</si>
  <si>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</si>
  <si>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</si>
  <si>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</si>
  <si>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</si>
  <si>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</si>
  <si>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</si>
  <si>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</si>
  <si>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</si>
  <si>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</si>
  <si>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</si>
  <si>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</si>
  <si>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</si>
  <si>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</si>
  <si>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</si>
  <si>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</si>
  <si>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</si>
  <si>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</si>
  <si>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</si>
  <si>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</si>
  <si>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</si>
  <si>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</si>
  <si>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</si>
  <si>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</si>
  <si>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</si>
  <si>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</si>
  <si>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</si>
  <si>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</si>
  <si>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</si>
  <si>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</si>
  <si>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</si>
  <si>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</si>
  <si>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</si>
  <si>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</si>
  <si>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</si>
  <si>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</si>
  <si>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</si>
  <si>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</si>
  <si>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</si>
  <si>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</si>
  <si>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</si>
  <si>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</si>
  <si>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</si>
  <si>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</si>
  <si>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</si>
  <si>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</si>
  <si>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</si>
  <si>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</si>
  <si>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</si>
  <si>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</si>
  <si>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</si>
  <si>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</si>
  <si>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</si>
  <si>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</si>
  <si>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</si>
  <si>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</si>
  <si>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</si>
  <si>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</si>
  <si>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</si>
  <si>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</si>
  <si>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</si>
  <si>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</si>
  <si>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</si>
  <si>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</si>
  <si>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</si>
  <si>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</si>
  <si>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</si>
  <si>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</si>
  <si>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</si>
  <si>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</si>
  <si>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</si>
  <si>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</si>
  <si>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</si>
  <si>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</si>
  <si>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</si>
  <si>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</si>
  <si>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</si>
  <si>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</si>
  <si>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</si>
  <si>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</si>
  <si>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</si>
  <si>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</si>
  <si>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</si>
  <si>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</si>
  <si>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</si>
  <si>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</si>
  <si>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</si>
  <si>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</si>
  <si>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</si>
  <si>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</si>
  <si>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</si>
  <si>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</si>
  <si>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</si>
  <si>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</si>
  <si>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</si>
  <si>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</si>
  <si>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</si>
  <si>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</si>
  <si>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</si>
  <si>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</si>
  <si>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</si>
  <si>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</si>
  <si>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</si>
  <si>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</si>
  <si>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</si>
  <si>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</si>
  <si>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</si>
  <si>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</si>
  <si>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</si>
  <si>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</si>
  <si>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</si>
  <si>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</si>
  <si>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</si>
  <si>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</si>
  <si>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</si>
  <si>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</si>
  <si>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</si>
  <si>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</si>
  <si>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</si>
  <si>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</si>
  <si>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</si>
  <si>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</si>
  <si>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</si>
  <si>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</si>
  <si>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</si>
  <si>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</si>
  <si>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</si>
  <si>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</si>
  <si>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</si>
  <si>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</si>
  <si>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</si>
  <si>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</si>
  <si>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</si>
  <si>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</si>
  <si>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</si>
  <si>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</si>
  <si>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</si>
  <si>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</si>
  <si>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</si>
  <si>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</si>
  <si>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</si>
  <si>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</si>
  <si>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</si>
  <si>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</si>
  <si>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</si>
  <si>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</si>
  <si>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</si>
  <si>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</si>
  <si>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</si>
  <si>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</si>
  <si>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</si>
  <si>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</si>
  <si>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</si>
  <si>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</si>
  <si>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</si>
  <si>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</si>
  <si>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</si>
  <si>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</si>
  <si>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</si>
  <si>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</si>
  <si>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</si>
  <si>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</si>
  <si>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</si>
  <si>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</si>
  <si>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</si>
  <si>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</si>
  <si>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</si>
  <si>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</si>
  <si>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</si>
  <si>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</si>
  <si>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</si>
  <si>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</si>
  <si>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</si>
  <si>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</si>
  <si>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</si>
  <si>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</si>
  <si>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</si>
  <si>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</si>
  <si>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</si>
  <si>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</si>
  <si>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</si>
  <si>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</si>
  <si>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</si>
  <si>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</si>
  <si>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</si>
  <si>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</si>
  <si>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</si>
  <si>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</si>
  <si>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</si>
  <si>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</si>
  <si>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</si>
  <si>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</si>
  <si>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</si>
  <si>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</si>
  <si>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</si>
  <si>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</si>
  <si>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</si>
  <si>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</si>
  <si>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</si>
  <si>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</si>
  <si>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</si>
  <si>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</si>
  <si>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</si>
  <si>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</si>
  <si>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</si>
  <si>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</si>
  <si>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</si>
  <si>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</si>
  <si>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</si>
  <si>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</si>
  <si>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</si>
  <si>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</si>
  <si>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</si>
  <si>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</si>
  <si>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</si>
  <si>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</si>
  <si>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</si>
  <si>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</si>
  <si>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</si>
  <si>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</si>
  <si>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</si>
  <si>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</si>
  <si>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</si>
  <si>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</si>
  <si>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</si>
  <si>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</si>
  <si>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</si>
  <si>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</si>
  <si>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</si>
  <si>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</si>
  <si>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</si>
  <si>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</si>
  <si>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</si>
  <si>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</si>
  <si>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</si>
  <si>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</si>
  <si>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</si>
  <si>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</si>
  <si>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</si>
  <si>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</si>
  <si>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</si>
  <si>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</si>
  <si>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</si>
  <si>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</si>
  <si>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</si>
  <si>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</si>
  <si>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</si>
  <si>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</si>
  <si>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</si>
  <si>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</si>
  <si>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</si>
  <si>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</si>
  <si>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</si>
  <si>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</si>
  <si>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</si>
  <si>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</si>
  <si>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</si>
  <si>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</si>
  <si>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</si>
  <si>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</si>
  <si>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</si>
  <si>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</si>
  <si>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</si>
  <si>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</si>
  <si>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</si>
  <si>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</si>
  <si>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</si>
  <si>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</si>
  <si>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</si>
  <si>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</si>
  <si>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</si>
  <si>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</si>
  <si>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</si>
  <si>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</si>
  <si>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</si>
  <si>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</si>
  <si>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</si>
  <si>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</si>
  <si>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</si>
  <si>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</si>
  <si>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</si>
  <si>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</si>
  <si>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</si>
  <si>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</si>
  <si>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</si>
  <si>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</si>
  <si>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</si>
  <si>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</si>
  <si>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</si>
  <si>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</si>
  <si>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</si>
  <si>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</si>
  <si>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</si>
  <si>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</si>
  <si>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</si>
  <si>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</si>
  <si>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</si>
  <si>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</si>
  <si>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</si>
  <si>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</si>
  <si>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</si>
  <si>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</si>
  <si>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</si>
  <si>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</si>
  <si>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</si>
  <si>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</si>
  <si>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</si>
  <si>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</si>
  <si>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</si>
  <si>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</si>
  <si>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</si>
  <si>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</si>
  <si>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</si>
  <si>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</si>
  <si>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</si>
  <si>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</si>
  <si>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</si>
  <si>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</si>
  <si>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</si>
  <si>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</si>
  <si>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</si>
  <si>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</si>
  <si>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</si>
  <si>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</si>
  <si>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</si>
  <si>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</si>
  <si>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</si>
  <si>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</si>
  <si>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</si>
  <si>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</si>
  <si>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</si>
  <si>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</si>
  <si>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</si>
  <si>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</si>
  <si>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</si>
  <si>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</si>
  <si>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</si>
  <si>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</si>
  <si>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</si>
  <si>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</si>
  <si>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</si>
  <si>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</si>
  <si>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</si>
  <si>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</si>
  <si>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</si>
  <si>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</si>
  <si>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</si>
  <si>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</si>
  <si>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</si>
  <si>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</si>
  <si>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</si>
  <si>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</si>
  <si>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</si>
  <si>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</si>
  <si>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</si>
  <si>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</si>
  <si>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</si>
  <si>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</si>
  <si>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</si>
  <si>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</si>
  <si>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</si>
  <si>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</si>
  <si>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</si>
  <si>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</si>
  <si>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</si>
  <si>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</si>
  <si>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</si>
  <si>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</si>
  <si>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</si>
  <si>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</si>
  <si>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</si>
  <si>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</si>
  <si>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</si>
  <si>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</si>
  <si>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</si>
  <si>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</si>
  <si>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</si>
  <si>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</si>
  <si>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</si>
  <si>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</si>
  <si>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</si>
  <si>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</si>
  <si>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</si>
  <si>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</si>
  <si>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</si>
  <si>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</si>
  <si>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</si>
  <si>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</si>
  <si>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</si>
  <si>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</si>
  <si>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</si>
  <si>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</si>
  <si>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</si>
  <si>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</si>
  <si>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</si>
  <si>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</si>
  <si>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</si>
  <si>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</si>
  <si>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</si>
  <si>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</si>
  <si>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</si>
  <si>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</si>
  <si>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</si>
  <si>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</si>
  <si>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</si>
  <si>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</si>
  <si>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</si>
  <si>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</si>
  <si>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</si>
  <si>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</si>
  <si>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</si>
  <si>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</si>
  <si>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</si>
  <si>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</si>
  <si>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</si>
  <si>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</si>
  <si>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</si>
  <si>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</si>
  <si>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</si>
  <si>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</si>
  <si>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</si>
  <si>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</si>
  <si>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</si>
  <si>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</si>
  <si>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</si>
  <si>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</si>
  <si>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</si>
  <si>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</si>
  <si>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</si>
  <si>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</si>
  <si>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</si>
  <si>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</si>
  <si>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</si>
  <si>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</si>
  <si>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</si>
  <si>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</si>
  <si>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</si>
  <si>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</si>
  <si>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</si>
  <si>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</si>
  <si>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</si>
  <si>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</si>
  <si>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</si>
  <si>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</si>
  <si>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</si>
  <si>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</si>
  <si>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</si>
  <si>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</si>
  <si>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</si>
  <si>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</si>
  <si>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</si>
  <si>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</si>
  <si>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</si>
  <si>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</si>
  <si>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</si>
  <si>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</si>
  <si>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</si>
  <si>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</si>
  <si>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</si>
  <si>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</si>
  <si>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</si>
  <si>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</si>
  <si>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</si>
  <si>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</si>
  <si>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</si>
  <si>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</si>
  <si>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</si>
  <si>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</si>
  <si>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</si>
  <si>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</si>
  <si>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</si>
  <si>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</si>
  <si>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</si>
  <si>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</si>
  <si>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</si>
  <si>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</si>
  <si>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</si>
  <si>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</si>
  <si>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</si>
  <si>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</si>
  <si>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</si>
  <si>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</si>
  <si>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</si>
  <si>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</si>
  <si>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</si>
  <si>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</si>
  <si>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</si>
  <si>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</si>
  <si>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</si>
  <si>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</si>
  <si>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</si>
  <si>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</si>
  <si>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</si>
  <si>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</si>
  <si>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</si>
  <si>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</si>
  <si>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</si>
  <si>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</si>
  <si>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</si>
  <si>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</si>
  <si>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</si>
  <si>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</si>
  <si>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</si>
  <si>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</si>
  <si>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</si>
  <si>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</si>
  <si>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</si>
  <si>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</si>
  <si>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</si>
  <si>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</si>
  <si>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</si>
  <si>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</si>
  <si>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</si>
  <si>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</si>
  <si>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</si>
  <si>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</si>
  <si>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</si>
  <si>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</si>
  <si>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</si>
  <si>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</si>
  <si>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</si>
  <si>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</si>
  <si>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</si>
  <si>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</si>
  <si>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</si>
  <si>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</si>
  <si>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</si>
  <si>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</si>
  <si>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</si>
  <si>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</si>
  <si>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</si>
  <si>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</si>
  <si>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</si>
  <si>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</si>
  <si>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</si>
  <si>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</si>
  <si>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</si>
  <si>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</si>
  <si>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</si>
  <si>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</si>
  <si>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</si>
  <si>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</si>
  <si>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</si>
  <si>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</si>
  <si>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</si>
  <si>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</si>
  <si>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</si>
  <si>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</si>
  <si>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</si>
  <si>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</si>
  <si>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</si>
  <si>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</si>
  <si>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</si>
  <si>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</si>
  <si>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</si>
  <si>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</si>
  <si>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</si>
  <si>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</si>
  <si>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</si>
  <si>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</si>
  <si>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</si>
  <si>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</si>
  <si>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</si>
  <si>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</si>
  <si>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</si>
  <si>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</si>
  <si>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</si>
  <si>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</si>
  <si>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</si>
  <si>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</si>
  <si>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</si>
  <si>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</si>
  <si>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</si>
  <si>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</si>
  <si>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</si>
  <si>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</si>
  <si>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</si>
  <si>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</si>
  <si>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</si>
  <si>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</si>
  <si>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</si>
  <si>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</si>
  <si>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</si>
  <si>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</si>
  <si>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</si>
  <si>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</si>
  <si>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</si>
  <si>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</si>
  <si>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</si>
  <si>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</si>
  <si>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</si>
  <si>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</si>
  <si>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</si>
  <si>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</si>
  <si>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</si>
  <si>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</si>
  <si>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</si>
  <si>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</si>
  <si>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</si>
  <si>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</si>
  <si>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</si>
  <si>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</si>
  <si>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</si>
  <si>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</si>
  <si>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</si>
  <si>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</si>
  <si>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</si>
  <si>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</si>
  <si>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</si>
  <si>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</si>
  <si>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</si>
  <si>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</si>
  <si>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</si>
  <si>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</si>
  <si>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</si>
  <si>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</si>
  <si>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</si>
  <si>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</si>
  <si>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</si>
  <si>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</si>
  <si>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</si>
  <si>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</si>
  <si>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</si>
  <si>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</si>
  <si>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</si>
  <si>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</si>
  <si>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</si>
  <si>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</si>
  <si>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</si>
  <si>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</si>
  <si>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</si>
  <si>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</si>
  <si>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</si>
  <si>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</si>
  <si>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</si>
  <si>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</si>
  <si>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</si>
  <si>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</si>
  <si>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</si>
  <si>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</si>
  <si>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</si>
  <si>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</si>
  <si>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</si>
  <si>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</si>
  <si>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</si>
  <si>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</si>
  <si>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</si>
  <si>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</si>
  <si>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</si>
  <si>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</si>
  <si>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</si>
  <si>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</si>
  <si>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</si>
  <si>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</si>
  <si>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</si>
  <si>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</si>
  <si>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</si>
  <si>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</si>
  <si>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</si>
  <si>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</si>
  <si>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</si>
  <si>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</si>
  <si>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</si>
  <si>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</si>
  <si>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</si>
  <si>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</si>
  <si>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</si>
  <si>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</si>
  <si>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</si>
  <si>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</si>
  <si>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</si>
  <si>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</si>
  <si>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</si>
  <si>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</si>
  <si>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</si>
  <si>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</si>
  <si>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</si>
  <si>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</si>
  <si>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</si>
  <si>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</si>
  <si>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</si>
  <si>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</si>
  <si>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</si>
  <si>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</si>
  <si>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</si>
  <si>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</si>
  <si>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</si>
  <si>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</si>
  <si>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</si>
  <si>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</si>
  <si>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</si>
  <si>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</si>
  <si>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</si>
  <si>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</si>
  <si>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</si>
  <si>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</si>
  <si>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</si>
  <si>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</si>
  <si>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</si>
  <si>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</si>
  <si>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</si>
  <si>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</si>
  <si>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</si>
  <si>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</si>
  <si>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</si>
  <si>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</si>
  <si>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</si>
  <si>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</si>
  <si>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</si>
  <si>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</si>
  <si>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</si>
  <si>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</si>
  <si>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</si>
  <si>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</si>
  <si>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</si>
  <si>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</si>
  <si>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</si>
  <si>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</si>
  <si>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</si>
  <si>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</si>
  <si>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</si>
  <si>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</si>
  <si>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</si>
  <si>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</si>
  <si>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</si>
  <si>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</si>
  <si>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</si>
  <si>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</si>
  <si>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</si>
  <si>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</si>
  <si>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</si>
  <si>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</si>
  <si>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</si>
  <si>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</si>
  <si>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</si>
  <si>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</si>
  <si>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</si>
  <si>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</si>
  <si>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</si>
  <si>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</si>
  <si>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</si>
  <si>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</si>
  <si>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</si>
  <si>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</si>
  <si>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</si>
  <si>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</si>
  <si>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</si>
  <si>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</si>
  <si>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</si>
  <si>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</si>
  <si>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</si>
  <si>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</si>
  <si>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</si>
  <si>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</si>
  <si>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</si>
  <si>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</si>
  <si>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</si>
  <si>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</si>
  <si>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</si>
  <si>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</si>
  <si>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</si>
  <si>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</si>
  <si>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</si>
  <si>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</si>
  <si>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</si>
  <si>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</si>
  <si>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</si>
  <si>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</si>
  <si>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</si>
  <si>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</si>
  <si>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</si>
  <si>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</si>
  <si>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</si>
  <si>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</si>
  <si>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</si>
  <si>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</si>
  <si>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</si>
  <si>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</si>
  <si>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</si>
  <si>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</si>
  <si>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</si>
  <si>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</si>
  <si>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</si>
  <si>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</si>
  <si>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</si>
  <si>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</si>
  <si>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</si>
  <si>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</si>
  <si>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</si>
  <si>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</si>
  <si>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</si>
  <si>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</si>
  <si>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</si>
  <si>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</si>
  <si>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</si>
  <si>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</si>
  <si>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</si>
  <si>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</si>
  <si>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</si>
  <si>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</si>
  <si>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</si>
  <si>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</si>
  <si>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</si>
  <si>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</si>
  <si>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</si>
  <si>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</si>
  <si>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</si>
  <si>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</si>
  <si>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</si>
  <si>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</si>
  <si>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</si>
  <si>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</si>
  <si>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</si>
  <si>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</si>
  <si>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</si>
  <si>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</si>
  <si>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</si>
  <si>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</si>
  <si>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</si>
  <si>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</si>
  <si>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</si>
  <si>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</si>
  <si>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</si>
  <si>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</si>
  <si>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</si>
  <si>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</si>
  <si>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</si>
  <si>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</si>
  <si>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</si>
  <si>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</si>
  <si>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</si>
  <si>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</si>
  <si>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</si>
  <si>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</si>
  <si>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</si>
  <si>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</si>
  <si>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</si>
  <si>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</si>
  <si>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</si>
  <si>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</si>
  <si>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</si>
  <si>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</si>
  <si>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</si>
  <si>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</si>
  <si>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</si>
  <si>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</si>
  <si>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</si>
  <si>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</si>
  <si>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</si>
  <si>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</si>
  <si>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</si>
  <si>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</si>
  <si>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</si>
  <si>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</si>
  <si>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</si>
  <si>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</si>
  <si>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</si>
  <si>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</si>
  <si>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</si>
  <si>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</si>
  <si>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</si>
  <si>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</si>
  <si>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</si>
  <si>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</si>
  <si>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</si>
  <si>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</si>
  <si>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</si>
  <si>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</si>
  <si>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</si>
  <si>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</si>
  <si>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</si>
  <si>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</si>
  <si>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</si>
  <si>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</si>
  <si>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</si>
  <si>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</si>
  <si>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</si>
  <si>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</si>
  <si>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</si>
  <si>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</si>
  <si>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</si>
  <si>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</si>
  <si>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</si>
  <si>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</si>
  <si>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</si>
  <si>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</si>
  <si>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</si>
  <si>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</si>
  <si>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</si>
  <si>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</si>
  <si>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</si>
  <si>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</si>
  <si>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</si>
  <si>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</si>
  <si>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</si>
  <si>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</si>
  <si>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</si>
  <si>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</si>
  <si>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</si>
  <si>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</si>
  <si>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</si>
  <si>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</si>
  <si>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</si>
  <si>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</si>
  <si>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</si>
  <si>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</si>
  <si>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</si>
  <si>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</si>
  <si>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</si>
  <si>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</si>
  <si>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</si>
  <si>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</si>
  <si>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</si>
  <si>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</si>
  <si>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</si>
  <si>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</si>
  <si>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</si>
  <si>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</si>
  <si>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</si>
  <si>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</si>
  <si>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</si>
  <si>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</si>
  <si>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</si>
  <si>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</si>
  <si>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</si>
  <si>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</si>
  <si>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</si>
  <si>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</si>
  <si>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</si>
  <si>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</si>
  <si>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</si>
  <si>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</si>
  <si>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</si>
  <si>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</si>
  <si>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</si>
  <si>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</si>
  <si>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</si>
  <si>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</si>
  <si>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</si>
  <si>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</si>
  <si>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</si>
  <si>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</si>
  <si>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</si>
  <si>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</si>
  <si>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</si>
  <si>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</si>
  <si>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</si>
  <si>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</si>
  <si>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</si>
  <si>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</si>
  <si>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</si>
  <si>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</si>
  <si>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</si>
  <si>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</si>
  <si>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</si>
  <si>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</si>
  <si>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</si>
  <si>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</si>
  <si>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</si>
  <si>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</si>
  <si>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</si>
  <si>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</si>
  <si>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</si>
  <si>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</si>
  <si>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</si>
  <si>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</si>
  <si>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</si>
  <si>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</si>
  <si>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</si>
  <si>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</si>
  <si>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</si>
  <si>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</si>
  <si>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</si>
  <si>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</si>
  <si>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</si>
  <si>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</si>
  <si>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</si>
  <si>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</si>
  <si>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</si>
  <si>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</si>
  <si>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</si>
  <si>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</si>
  <si>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</si>
  <si>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</si>
  <si>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</si>
  <si>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</si>
  <si>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</si>
  <si>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</si>
  <si>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</si>
  <si>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</si>
  <si>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</si>
  <si>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</si>
  <si>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</si>
  <si>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</si>
  <si>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</si>
  <si>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</si>
  <si>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</si>
  <si>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</si>
  <si>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</si>
  <si>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</si>
  <si>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</si>
  <si>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</si>
  <si>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</si>
  <si>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</si>
  <si>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</si>
  <si>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</si>
  <si>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</si>
  <si>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</si>
  <si>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</si>
  <si>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</si>
  <si>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</si>
  <si>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</si>
  <si>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</si>
  <si>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</si>
  <si>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</si>
  <si>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</si>
  <si>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</si>
  <si>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</si>
  <si>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</si>
  <si>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</si>
  <si>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</si>
  <si>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</si>
  <si>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</si>
  <si>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</si>
  <si>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</si>
  <si>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</si>
  <si>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</si>
  <si>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</si>
  <si>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</si>
  <si>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</si>
  <si>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</si>
  <si>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</si>
  <si>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</si>
  <si>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</si>
  <si>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</si>
  <si>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</si>
  <si>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</si>
  <si>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</si>
  <si>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</si>
  <si>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</si>
  <si>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</si>
  <si>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</si>
  <si>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</si>
  <si>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</si>
  <si>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</si>
  <si>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</si>
  <si>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</si>
  <si>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</si>
  <si>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</si>
  <si>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</si>
  <si>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</si>
  <si>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</si>
  <si>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</si>
  <si>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</si>
  <si>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</si>
  <si>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</si>
  <si>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</si>
  <si>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</si>
  <si>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</si>
  <si>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</si>
  <si>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</si>
  <si>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</si>
  <si>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</si>
  <si>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</si>
  <si>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</si>
  <si>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</si>
  <si>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</si>
  <si>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</si>
  <si>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</si>
  <si>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</si>
  <si>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</si>
  <si>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</si>
  <si>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</si>
  <si>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</si>
  <si>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</si>
  <si>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</si>
  <si>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</si>
  <si>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</si>
  <si>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</si>
  <si>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</si>
  <si>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</si>
  <si>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</si>
  <si>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</si>
  <si>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</si>
  <si>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</si>
  <si>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</si>
  <si>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</si>
  <si>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</si>
  <si>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</si>
  <si>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</si>
  <si>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</si>
  <si>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</si>
  <si>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</si>
  <si>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</si>
  <si>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</si>
  <si>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</si>
  <si>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</si>
  <si>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</si>
  <si>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</si>
  <si>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</si>
  <si>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</si>
  <si>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</si>
  <si>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</si>
  <si>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</si>
  <si>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</si>
  <si>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</si>
  <si>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</si>
  <si>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</si>
  <si>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</si>
  <si>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</si>
  <si>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</si>
  <si>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</si>
  <si>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</si>
  <si>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</si>
  <si>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</si>
  <si>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</si>
  <si>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</si>
  <si>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</si>
  <si>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</si>
  <si>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</si>
  <si>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</si>
  <si>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</si>
  <si>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</si>
  <si>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</si>
  <si>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</si>
  <si>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</si>
  <si>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</si>
  <si>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</si>
  <si>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</si>
  <si>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</si>
  <si>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</si>
  <si>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</si>
  <si>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</si>
  <si>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</si>
  <si>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</si>
  <si>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</si>
  <si>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</si>
  <si>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</si>
  <si>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</si>
  <si>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</si>
  <si>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</si>
  <si>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</si>
  <si>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</si>
  <si>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</si>
  <si>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</si>
  <si>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</si>
  <si>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</si>
  <si>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</si>
  <si>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</si>
  <si>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</si>
  <si>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</si>
  <si>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</si>
  <si>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</si>
  <si>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</si>
  <si>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</si>
  <si>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</si>
  <si>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</si>
  <si>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</si>
  <si>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</si>
  <si>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</si>
  <si>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</si>
  <si>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</si>
  <si>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</si>
  <si>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</si>
  <si>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</si>
  <si>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</si>
  <si>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</si>
  <si>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</si>
  <si>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</si>
  <si>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</si>
  <si>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</si>
  <si>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</si>
  <si>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</si>
  <si>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</si>
  <si>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</si>
  <si>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</si>
  <si>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</si>
  <si>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</si>
  <si>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</si>
  <si>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</si>
  <si>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</si>
  <si>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</si>
  <si>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</si>
  <si>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</si>
  <si>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</si>
  <si>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</si>
  <si>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</si>
  <si>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</si>
  <si>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</si>
  <si>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</si>
  <si>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</si>
  <si>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</si>
  <si>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</si>
  <si>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</si>
  <si>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</si>
  <si>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</si>
  <si>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</si>
  <si>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</si>
  <si>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</si>
  <si>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</si>
  <si>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</si>
  <si>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</si>
  <si>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</si>
  <si>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</si>
  <si>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</si>
  <si>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</si>
  <si>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</si>
  <si>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</si>
  <si>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</si>
  <si>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</si>
  <si>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</si>
  <si>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</si>
  <si>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</si>
  <si>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</si>
  <si>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</si>
  <si>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</si>
  <si>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</si>
  <si>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</si>
  <si>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</si>
  <si>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</si>
  <si>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</si>
  <si>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</si>
  <si>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</si>
  <si>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</si>
  <si>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</si>
  <si>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</si>
  <si>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</si>
  <si>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</si>
  <si>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</si>
  <si>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</si>
  <si>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</si>
  <si>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</si>
  <si>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</si>
  <si>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</si>
  <si>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</si>
  <si>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</si>
  <si>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</si>
  <si>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</si>
  <si>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</si>
  <si>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</si>
  <si>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</si>
  <si>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</si>
  <si>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</si>
  <si>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</si>
  <si>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</si>
  <si>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</si>
  <si>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</si>
  <si>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</si>
  <si>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</si>
  <si>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</si>
  <si>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</si>
  <si>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</si>
  <si>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</si>
  <si>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</si>
  <si>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</si>
  <si>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</si>
  <si>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</si>
  <si>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</si>
  <si>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</si>
  <si>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</si>
  <si>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</si>
  <si>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</si>
  <si>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</si>
  <si>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</si>
  <si>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</si>
  <si>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</si>
  <si>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</si>
  <si>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</si>
  <si>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</si>
  <si>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</si>
  <si>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</si>
  <si>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</si>
  <si>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</si>
  <si>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</si>
  <si>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</si>
  <si>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</si>
  <si>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</si>
  <si>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</si>
  <si>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</si>
  <si>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</si>
  <si>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</si>
  <si>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</si>
  <si>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</si>
  <si>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</si>
  <si>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</si>
  <si>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</si>
  <si>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</si>
  <si>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</si>
  <si>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</si>
  <si>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</si>
  <si>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</si>
  <si>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</si>
  <si>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</si>
  <si>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</si>
  <si>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</si>
  <si>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</si>
  <si>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</si>
  <si>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</si>
  <si>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</si>
  <si>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</si>
  <si>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</si>
  <si>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</si>
  <si>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</si>
  <si>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</si>
  <si>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</si>
  <si>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</si>
  <si>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</si>
  <si>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</si>
  <si>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</si>
  <si>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</si>
  <si>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</si>
  <si>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</si>
  <si>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</si>
  <si>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</si>
  <si>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</si>
  <si>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</si>
  <si>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</si>
  <si>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</si>
  <si>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</si>
  <si>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</si>
  <si>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</si>
  <si>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</si>
  <si>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</si>
  <si>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</si>
  <si>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</si>
  <si>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</si>
  <si>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</si>
  <si>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</si>
  <si>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</si>
  <si>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</si>
  <si>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</si>
  <si>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</si>
  <si>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</si>
  <si>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</si>
  <si>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</si>
  <si>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</si>
  <si>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</si>
  <si>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</si>
  <si>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</si>
  <si>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</si>
  <si>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</si>
  <si>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</si>
  <si>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</si>
  <si>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</si>
  <si>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</si>
  <si>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</si>
  <si>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</si>
  <si>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</si>
  <si>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</si>
  <si>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</si>
  <si>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</si>
  <si>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</si>
  <si>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</si>
  <si>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</si>
  <si>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</si>
  <si>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</si>
  <si>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</si>
  <si>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</si>
  <si>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</si>
  <si>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</si>
  <si>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</si>
  <si>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</si>
  <si>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</si>
  <si>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</si>
  <si>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</si>
  <si>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</si>
  <si>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</si>
  <si>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</si>
  <si>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</si>
  <si>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</si>
  <si>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</si>
  <si>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</si>
  <si>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</si>
  <si>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</si>
  <si>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</si>
  <si>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</si>
  <si>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</si>
  <si>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</si>
  <si>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</si>
  <si>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</si>
  <si>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</si>
  <si>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</si>
  <si>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</si>
  <si>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</si>
  <si>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</si>
  <si>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</si>
  <si>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</si>
  <si>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</si>
  <si>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</si>
  <si>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</si>
  <si>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</si>
  <si>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</si>
  <si>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</si>
  <si>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</si>
  <si>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</si>
  <si>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</si>
  <si>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</si>
  <si>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</si>
  <si>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</si>
  <si>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</si>
  <si>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</si>
  <si>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</si>
  <si>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</si>
  <si>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</si>
  <si>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</si>
  <si>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</si>
  <si>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</si>
  <si>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</si>
  <si>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</si>
  <si>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</si>
  <si>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</si>
  <si>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</si>
  <si>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</si>
  <si>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</si>
  <si>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</si>
  <si>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</si>
  <si>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</si>
  <si>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</si>
  <si>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</si>
  <si>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</si>
  <si>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</si>
  <si>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</si>
  <si>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</si>
  <si>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</si>
  <si>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</si>
  <si>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</si>
  <si>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</si>
  <si>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</si>
  <si>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</si>
  <si>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</si>
  <si>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</si>
  <si>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</si>
  <si>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</si>
  <si>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</si>
  <si>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</si>
  <si>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</si>
  <si>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</si>
  <si>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</si>
  <si>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</si>
  <si>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</si>
  <si>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</si>
  <si>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</si>
  <si>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</si>
  <si>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</si>
  <si>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</si>
  <si>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</si>
  <si>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</si>
  <si>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</si>
  <si>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</si>
  <si>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</si>
  <si>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</si>
  <si>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</si>
  <si>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</si>
  <si>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</si>
  <si>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</si>
  <si>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</si>
  <si>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</si>
  <si>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</si>
  <si>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</si>
  <si>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</si>
  <si>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</si>
  <si>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</si>
  <si>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</si>
  <si>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</si>
  <si>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</si>
  <si>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</si>
  <si>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</si>
  <si>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</si>
  <si>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</si>
  <si>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</si>
  <si>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</si>
  <si>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</si>
  <si>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</si>
  <si>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</si>
  <si>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</si>
  <si>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</si>
  <si>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</si>
  <si>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</si>
  <si>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</si>
  <si>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</si>
  <si>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</si>
  <si>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</si>
  <si>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</si>
  <si>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</si>
  <si>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</si>
  <si>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</si>
  <si>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</si>
  <si>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</si>
  <si>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</si>
  <si>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</si>
  <si>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</si>
  <si>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</si>
  <si>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</si>
  <si>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</si>
  <si>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</si>
  <si>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</si>
  <si>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</si>
  <si>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</si>
  <si>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</si>
  <si>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</si>
  <si>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</si>
  <si>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</si>
  <si>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</si>
  <si>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</si>
  <si>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</si>
  <si>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</si>
  <si>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</si>
  <si>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</si>
  <si>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</si>
  <si>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</si>
  <si>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</si>
  <si>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</si>
  <si>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</si>
  <si>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</si>
  <si>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</si>
  <si>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</si>
  <si>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</si>
  <si>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</si>
  <si>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</si>
  <si>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</si>
  <si>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</si>
  <si>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</si>
  <si>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</si>
  <si>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</si>
  <si>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</si>
  <si>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</si>
  <si>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</si>
  <si>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</si>
  <si>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</si>
  <si>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</si>
  <si>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</si>
  <si>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</si>
  <si>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</si>
  <si>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</si>
  <si>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</si>
  <si>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</si>
  <si>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</si>
  <si>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</si>
  <si>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</si>
  <si>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</si>
  <si>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</si>
  <si>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</si>
  <si>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</si>
  <si>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</si>
  <si>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</si>
  <si>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</si>
  <si>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</si>
  <si>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</si>
  <si>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</si>
  <si>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</si>
  <si>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</si>
  <si>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</si>
  <si>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</si>
  <si>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</si>
  <si>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</si>
  <si>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</si>
  <si>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</si>
  <si>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</si>
  <si>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</si>
  <si>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</si>
  <si>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</si>
  <si>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</si>
  <si>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</si>
  <si>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</si>
  <si>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</si>
  <si>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</si>
  <si>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</si>
  <si>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</si>
  <si>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</si>
  <si>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</si>
  <si>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</si>
  <si>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</si>
  <si>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</si>
  <si>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</si>
  <si>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</si>
  <si>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</si>
  <si>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</si>
  <si>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</si>
  <si>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</si>
  <si>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</si>
  <si>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</si>
  <si>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</si>
  <si>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</si>
  <si>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</si>
  <si>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</si>
  <si>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</si>
  <si>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</si>
  <si>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</si>
  <si>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</si>
  <si>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</si>
  <si>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</si>
  <si>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</si>
  <si>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</si>
  <si>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</si>
  <si>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</si>
  <si>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</si>
  <si>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</si>
  <si>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</si>
  <si>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</si>
  <si>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</si>
  <si>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</si>
  <si>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</si>
  <si>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</si>
  <si>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</si>
  <si>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</si>
  <si>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</si>
  <si>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</si>
  <si>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</si>
  <si>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</si>
  <si>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</si>
  <si>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</si>
  <si>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</si>
  <si>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</si>
  <si>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</si>
  <si>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</si>
  <si>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</si>
  <si>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</si>
  <si>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</si>
  <si>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</si>
  <si>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</si>
  <si>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</si>
  <si>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</si>
  <si>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</si>
  <si>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</si>
  <si>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</si>
  <si>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</si>
  <si>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</si>
  <si>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</si>
  <si>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</si>
  <si>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</si>
  <si>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</si>
  <si>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</si>
  <si>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</si>
  <si>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</si>
  <si>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</si>
  <si>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</si>
  <si>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</si>
  <si>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</si>
  <si>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</si>
  <si>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</si>
  <si>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</si>
  <si>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</si>
  <si>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</si>
  <si>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</si>
  <si>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</si>
  <si>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</si>
  <si>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</si>
  <si>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</si>
  <si>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</si>
  <si>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</si>
  <si>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</si>
  <si>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</si>
  <si>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</si>
  <si>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</si>
  <si>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</si>
  <si>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</si>
  <si>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</si>
  <si>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</si>
  <si>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</si>
  <si>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</si>
  <si>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</si>
  <si>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</si>
  <si>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</si>
  <si>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</si>
  <si>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</si>
  <si>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</si>
  <si>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</si>
  <si>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</si>
  <si>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</si>
  <si>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</si>
  <si>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</si>
  <si>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</si>
  <si>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</si>
  <si>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</si>
  <si>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</si>
  <si>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</si>
  <si>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</si>
  <si>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</si>
  <si>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</si>
  <si>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</si>
  <si>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</si>
  <si>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</si>
  <si>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</si>
  <si>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</si>
  <si>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</si>
  <si>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</si>
  <si>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</si>
  <si>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</si>
  <si>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</si>
  <si>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</si>
  <si>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</si>
  <si>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</si>
  <si>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</si>
  <si>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</si>
  <si>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</si>
  <si>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</si>
  <si>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</si>
  <si>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</si>
  <si>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</si>
  <si>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</si>
  <si>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</si>
  <si>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</si>
  <si>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</si>
  <si>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</si>
  <si>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</si>
  <si>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</si>
  <si>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</si>
  <si>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</si>
  <si>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</si>
  <si>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</si>
  <si>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</si>
  <si>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</si>
  <si>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</si>
  <si>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</si>
  <si>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</si>
  <si>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</si>
  <si>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</si>
  <si>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</si>
  <si>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</si>
  <si>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</si>
  <si>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</si>
  <si>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</si>
  <si>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</si>
  <si>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</si>
  <si>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</si>
  <si>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</si>
  <si>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</si>
  <si>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</si>
  <si>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</si>
  <si>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</si>
  <si>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</si>
  <si>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</si>
  <si>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</si>
  <si>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</si>
  <si>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</si>
  <si>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</si>
  <si>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</si>
  <si>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</si>
  <si>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</si>
  <si>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</si>
  <si>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</si>
  <si>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</si>
  <si>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</si>
  <si>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</si>
  <si>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</si>
  <si>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</si>
  <si>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</si>
  <si>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</si>
  <si>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</si>
  <si>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</si>
  <si>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</si>
  <si>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</si>
  <si>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</si>
  <si>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</si>
  <si>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</si>
  <si>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</si>
  <si>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</si>
  <si>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</si>
  <si>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</si>
  <si>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</si>
  <si>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</si>
  <si>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</si>
  <si>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</si>
  <si>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</si>
  <si>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</si>
  <si>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</si>
  <si>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</si>
  <si>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</si>
  <si>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</si>
  <si>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</si>
  <si>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</si>
  <si>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</si>
  <si>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</si>
  <si>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</si>
  <si>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</si>
  <si>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</si>
  <si>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</si>
  <si>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</si>
  <si>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</si>
  <si>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</si>
  <si>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</si>
  <si>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</si>
  <si>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</si>
  <si>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</si>
  <si>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</si>
  <si>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</si>
  <si>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</si>
  <si>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</si>
  <si>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</si>
  <si>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</si>
  <si>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</si>
  <si>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</si>
  <si>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</si>
  <si>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</si>
  <si>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</si>
  <si>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</si>
  <si>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</si>
  <si>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</si>
  <si>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</si>
  <si>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</si>
  <si>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</si>
  <si>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</si>
  <si>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</si>
  <si>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</si>
  <si>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</si>
  <si>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</si>
  <si>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</si>
  <si>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</si>
  <si>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</si>
  <si>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</si>
  <si>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</si>
  <si>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</si>
  <si>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</si>
  <si>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</si>
  <si>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</si>
  <si>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</si>
  <si>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</si>
  <si>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</si>
  <si>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</si>
  <si>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</si>
  <si>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</si>
  <si>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</si>
  <si>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</si>
  <si>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</si>
  <si>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</si>
  <si>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</si>
  <si>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</si>
  <si>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</si>
  <si>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</si>
  <si>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</si>
  <si>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</si>
  <si>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</si>
  <si>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</si>
  <si>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</si>
  <si>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</si>
  <si>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</si>
  <si>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</si>
  <si>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</si>
  <si>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</si>
  <si>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</si>
  <si>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</si>
  <si>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</si>
  <si>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</si>
  <si>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</si>
  <si>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</si>
  <si>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</si>
  <si>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</si>
  <si>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</si>
  <si>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</si>
  <si>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</si>
  <si>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</si>
  <si>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</si>
  <si>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</si>
  <si>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</si>
  <si>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</si>
  <si>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</si>
  <si>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</si>
  <si>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</si>
  <si>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</si>
  <si>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</si>
  <si>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</si>
  <si>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</si>
  <si>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</si>
  <si>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</si>
  <si>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</si>
  <si>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</si>
  <si>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</si>
  <si>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</si>
  <si>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</si>
  <si>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</si>
  <si>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</si>
  <si>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</si>
  <si>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</si>
  <si>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</si>
  <si>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</si>
  <si>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</si>
  <si>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</si>
  <si>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</si>
  <si>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</si>
  <si>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</si>
  <si>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</si>
  <si>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</si>
  <si>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</si>
  <si>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</si>
  <si>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</si>
  <si>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</si>
  <si>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</si>
  <si>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</si>
  <si>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</si>
  <si>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</si>
  <si>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</si>
  <si>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</si>
  <si>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</si>
  <si>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</si>
  <si>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</si>
  <si>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</si>
  <si>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</si>
  <si>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</si>
  <si>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</si>
  <si>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</si>
  <si>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</si>
  <si>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</si>
  <si>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</si>
  <si>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</si>
  <si>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</si>
  <si>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</si>
  <si>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</si>
  <si>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</si>
  <si>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</si>
  <si>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</si>
  <si>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</si>
  <si>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</si>
  <si>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</si>
  <si>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</si>
  <si>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</si>
  <si>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</si>
  <si>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</si>
  <si>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</si>
  <si>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</si>
  <si>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</si>
  <si>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</si>
  <si>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</si>
  <si>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</si>
  <si>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</si>
  <si>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</si>
  <si>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</si>
  <si>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</si>
  <si>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</si>
  <si>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</si>
  <si>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</si>
  <si>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</si>
  <si>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</si>
  <si>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</si>
  <si>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</si>
  <si>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</si>
  <si>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</si>
  <si>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</si>
  <si>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</si>
  <si>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</si>
  <si>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</si>
  <si>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</si>
  <si>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</si>
  <si>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</si>
  <si>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</si>
  <si>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</si>
  <si>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</si>
  <si>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</si>
  <si>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</si>
  <si>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</si>
  <si>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</si>
  <si>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</si>
  <si>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</si>
  <si>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</si>
  <si>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</si>
  <si>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</si>
  <si>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</si>
  <si>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</si>
  <si>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</si>
  <si>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</si>
  <si>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</si>
  <si>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</si>
  <si>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</si>
  <si>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</si>
  <si>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</si>
  <si>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</si>
  <si>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</si>
  <si>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</si>
  <si>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</si>
  <si>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</si>
  <si>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</si>
  <si>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</si>
  <si>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</si>
  <si>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</si>
  <si>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</si>
  <si>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</si>
  <si>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</si>
  <si>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</si>
  <si>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</si>
  <si>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</si>
  <si>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</si>
  <si>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</si>
  <si>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</si>
  <si>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</si>
  <si>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</si>
  <si>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</si>
  <si>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</si>
  <si>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</si>
  <si>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</si>
  <si>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</si>
  <si>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</si>
  <si>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</si>
  <si>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</si>
  <si>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</si>
  <si>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</si>
  <si>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</si>
  <si>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</si>
  <si>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</si>
  <si>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</si>
  <si>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</si>
  <si>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</si>
  <si>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</si>
  <si>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</si>
  <si>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</si>
  <si>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</si>
  <si>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</si>
  <si>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</si>
  <si>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</si>
  <si>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</si>
  <si>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</si>
  <si>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</si>
  <si>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</si>
  <si>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</si>
  <si>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</si>
  <si>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</si>
  <si>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</si>
  <si>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</si>
  <si>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</si>
  <si>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</si>
  <si>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</si>
  <si>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</si>
  <si>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</si>
  <si>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</si>
  <si>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</si>
  <si>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</si>
  <si>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</si>
  <si>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</si>
  <si>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</si>
  <si>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</si>
  <si>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</si>
  <si>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</si>
  <si>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</si>
  <si>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</si>
  <si>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</si>
  <si>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</si>
  <si>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</si>
  <si>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</si>
  <si>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</si>
  <si>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</si>
  <si>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</si>
  <si>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</si>
  <si>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</si>
  <si>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</si>
  <si>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</si>
  <si>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</si>
  <si>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</si>
  <si>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</si>
  <si>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</si>
  <si>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</si>
  <si>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</si>
  <si>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</si>
  <si>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</si>
  <si>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</si>
  <si>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</si>
  <si>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</si>
  <si>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</si>
  <si>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</si>
  <si>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</si>
  <si>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</si>
  <si>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</si>
  <si>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</si>
  <si>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</si>
  <si>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</si>
  <si>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</si>
  <si>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</si>
  <si>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</si>
  <si>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</si>
  <si>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</si>
  <si>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</si>
  <si>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</si>
  <si>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</si>
  <si>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</si>
  <si>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</si>
  <si>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</si>
  <si>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</si>
  <si>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</si>
  <si>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</si>
  <si>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</si>
  <si>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</si>
  <si>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</si>
  <si>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</si>
  <si>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</si>
  <si>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</si>
  <si>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</si>
  <si>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</si>
  <si>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</si>
  <si>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</si>
  <si>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</si>
  <si>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</si>
  <si>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</si>
  <si>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</si>
  <si>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</si>
  <si>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</si>
  <si>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</si>
  <si>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</si>
  <si>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</si>
  <si>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</si>
  <si>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</si>
  <si>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</si>
  <si>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</si>
  <si>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</si>
  <si>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</si>
  <si>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</si>
  <si>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</si>
  <si>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</si>
  <si>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</si>
  <si>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</si>
  <si>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</si>
  <si>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</si>
  <si>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</si>
  <si>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</si>
  <si>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</si>
  <si>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</si>
  <si>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</si>
  <si>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</si>
  <si>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</si>
  <si>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</si>
  <si>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</si>
  <si>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</si>
  <si>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</si>
  <si>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</si>
  <si>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</si>
  <si>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</si>
  <si>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</si>
  <si>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</si>
  <si>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</si>
  <si>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</si>
  <si>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</si>
  <si>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</si>
  <si>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</si>
  <si>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</si>
  <si>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</si>
  <si>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</si>
  <si>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</si>
  <si>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</si>
  <si>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</si>
  <si>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</si>
  <si>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</si>
  <si>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</si>
  <si>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</si>
  <si>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</si>
  <si>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</si>
  <si>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</si>
  <si>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</si>
  <si>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</si>
  <si>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</si>
  <si>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</si>
  <si>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</si>
  <si>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</si>
  <si>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</si>
  <si>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</si>
  <si>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</si>
  <si>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</si>
  <si>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</si>
  <si>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</si>
  <si>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</si>
  <si>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</si>
  <si>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</si>
  <si>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</si>
  <si>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</si>
  <si>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</si>
  <si>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</si>
  <si>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</si>
  <si>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</si>
  <si>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</si>
  <si>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</si>
  <si>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</si>
  <si>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</si>
  <si>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</si>
  <si>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</si>
  <si>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</si>
  <si>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</si>
  <si>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</si>
  <si>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</si>
  <si>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</si>
  <si>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</si>
  <si>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</si>
  <si>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</si>
  <si>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</si>
  <si>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</si>
  <si>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</si>
  <si>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</si>
  <si>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</si>
  <si>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</si>
  <si>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</si>
  <si>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</si>
  <si>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</si>
  <si>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</si>
  <si>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</si>
  <si>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</si>
  <si>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</si>
  <si>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</si>
  <si>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</si>
  <si>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</si>
  <si>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</si>
  <si>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</si>
  <si>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</si>
  <si>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</si>
  <si>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</si>
  <si>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</si>
  <si>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</si>
  <si>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</si>
  <si>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</si>
  <si>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</si>
  <si>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</si>
  <si>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</si>
  <si>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</si>
  <si>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</si>
  <si>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</si>
  <si>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</si>
  <si>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</si>
  <si>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</si>
  <si>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</si>
  <si>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</si>
  <si>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</si>
  <si>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</si>
  <si>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</si>
  <si>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</si>
  <si>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</si>
  <si>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</si>
  <si>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</si>
  <si>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</si>
  <si>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</si>
  <si>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</si>
  <si>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</si>
  <si>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</si>
  <si>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</si>
  <si>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</si>
  <si>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</si>
  <si>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</si>
  <si>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</si>
  <si>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</si>
  <si>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</si>
  <si>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</si>
  <si>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</si>
  <si>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</si>
  <si>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</si>
  <si>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</si>
  <si>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</si>
  <si>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</si>
  <si>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</si>
  <si>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</si>
  <si>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</si>
  <si>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</si>
  <si>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</si>
  <si>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</si>
  <si>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</si>
  <si>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</si>
  <si>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</si>
  <si>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</si>
  <si>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</si>
  <si>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</si>
  <si>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</si>
  <si>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</si>
  <si>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</si>
  <si>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</si>
  <si>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</si>
  <si>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</si>
  <si>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</si>
  <si>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</si>
  <si>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</si>
  <si>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</si>
  <si>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</si>
  <si>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</si>
  <si>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</si>
  <si>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</si>
  <si>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</si>
  <si>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</si>
  <si>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</si>
  <si>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</si>
  <si>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</si>
  <si>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</si>
  <si>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</si>
  <si>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</si>
  <si>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</si>
  <si>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</si>
  <si>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</si>
  <si>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</si>
  <si>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</si>
  <si>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</si>
  <si>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</si>
  <si>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</si>
  <si>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</si>
  <si>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</si>
  <si>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</si>
  <si>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</si>
  <si>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</si>
  <si>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</si>
  <si>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</si>
  <si>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</si>
  <si>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</si>
  <si>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</si>
  <si>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</si>
  <si>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</si>
  <si>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</si>
  <si>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</si>
  <si>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</si>
  <si>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</si>
  <si>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</si>
  <si>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</si>
  <si>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</si>
  <si>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</si>
  <si>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</si>
  <si>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</si>
  <si>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</si>
  <si>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</si>
  <si>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</si>
  <si>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</si>
  <si>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</si>
  <si>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</si>
  <si>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</si>
  <si>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</si>
  <si>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</si>
  <si>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</si>
  <si>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</si>
  <si>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</si>
  <si>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</si>
  <si>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</si>
  <si>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</si>
  <si>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</si>
  <si>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</si>
  <si>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</si>
  <si>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</si>
  <si>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</si>
  <si>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</si>
  <si>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</si>
  <si>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</si>
  <si>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</si>
  <si>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</si>
  <si>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</si>
  <si>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</si>
  <si>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</si>
  <si>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</si>
  <si>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</si>
  <si>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</si>
  <si>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</si>
  <si>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</si>
  <si>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</si>
  <si>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</si>
  <si>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</si>
  <si>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</si>
  <si>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</si>
  <si>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</si>
  <si>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</si>
  <si>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</si>
  <si>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</si>
  <si>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</si>
  <si>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</si>
  <si>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</si>
  <si>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</si>
  <si>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</si>
  <si>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</si>
  <si>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</si>
  <si>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</si>
  <si>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</si>
  <si>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</si>
  <si>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</si>
  <si>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</si>
  <si>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</si>
  <si>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</si>
  <si>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</si>
  <si>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</si>
  <si>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</si>
  <si>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</si>
  <si>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</si>
  <si>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</si>
  <si>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</si>
  <si>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</si>
  <si>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</si>
  <si>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</si>
  <si>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</si>
  <si>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</si>
  <si>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</si>
  <si>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</si>
  <si>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</si>
  <si>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</si>
  <si>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</si>
  <si>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</si>
  <si>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</si>
  <si>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</si>
  <si>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</si>
  <si>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</si>
  <si>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</si>
  <si>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</si>
  <si>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</si>
  <si>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</si>
  <si>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</si>
  <si>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</si>
  <si>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</si>
  <si>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</si>
  <si>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</si>
  <si>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</si>
  <si>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</si>
  <si>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</si>
  <si>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</si>
  <si>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</si>
  <si>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</si>
  <si>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</si>
  <si>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</si>
  <si>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</si>
  <si>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</si>
  <si>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</si>
  <si>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</si>
  <si>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</si>
  <si>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</si>
  <si>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</si>
  <si>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</si>
  <si>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</si>
  <si>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</si>
  <si>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</si>
  <si>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</si>
  <si>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</si>
  <si>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</si>
  <si>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</si>
  <si>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</si>
  <si>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</si>
  <si>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</si>
  <si>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</si>
  <si>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</si>
  <si>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</si>
  <si>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</si>
  <si>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</si>
  <si>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</si>
  <si>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</si>
  <si>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</si>
  <si>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</si>
  <si>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</si>
  <si>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</si>
  <si>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</si>
  <si>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</si>
  <si>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</si>
  <si>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</si>
  <si>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</si>
  <si>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</si>
  <si>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</si>
  <si>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</si>
  <si>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</si>
  <si>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</si>
  <si>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</si>
  <si>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</si>
  <si>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</si>
  <si>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</si>
  <si>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</si>
  <si>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</si>
  <si>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</si>
  <si>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</si>
  <si>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</si>
  <si>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</si>
  <si>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</si>
  <si>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</si>
  <si>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</si>
  <si>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</si>
  <si>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</si>
  <si>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</si>
  <si>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</si>
  <si>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</si>
  <si>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</si>
  <si>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</si>
  <si>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</si>
  <si>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</si>
  <si>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</si>
  <si>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</si>
  <si>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</si>
  <si>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</si>
  <si>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</si>
  <si>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</si>
  <si>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</si>
  <si>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</si>
  <si>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</si>
  <si>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</si>
  <si>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</si>
  <si>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</si>
  <si>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</si>
  <si>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</si>
  <si>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</si>
  <si>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</si>
  <si>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</si>
  <si>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</si>
  <si>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</si>
  <si>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</si>
  <si>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</si>
  <si>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</si>
  <si>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</si>
  <si>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</si>
  <si>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</si>
  <si>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</si>
  <si>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</si>
  <si>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</si>
  <si>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</si>
  <si>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</si>
  <si>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</si>
  <si>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</si>
  <si>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</si>
  <si>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</si>
  <si>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</si>
  <si>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</si>
  <si>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</si>
  <si>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</si>
  <si>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</si>
  <si>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</si>
  <si>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</si>
  <si>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</si>
  <si>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</si>
  <si>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</si>
  <si>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</si>
  <si>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</si>
  <si>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</si>
  <si>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</si>
  <si>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</si>
  <si>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</si>
  <si>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</si>
  <si>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</si>
  <si>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</si>
  <si>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</si>
  <si>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</si>
  <si>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</si>
  <si>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</si>
  <si>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</si>
  <si>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</si>
  <si>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</si>
  <si>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</si>
  <si>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</si>
  <si>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</si>
  <si>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</si>
  <si>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</si>
  <si>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</si>
  <si>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</si>
  <si>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</si>
  <si>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</si>
  <si>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</si>
  <si>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</si>
  <si>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</si>
  <si>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</si>
  <si>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</si>
  <si>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</si>
  <si>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</si>
  <si>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</si>
  <si>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</si>
  <si>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</si>
  <si>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</si>
  <si>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</si>
  <si>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</si>
  <si>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</si>
  <si>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</si>
  <si>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</si>
  <si>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</si>
  <si>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</si>
  <si>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</si>
  <si>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</si>
  <si>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</si>
  <si>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</si>
  <si>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</si>
  <si>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</si>
  <si>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</si>
  <si>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</si>
  <si>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</si>
  <si>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</si>
  <si>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</si>
  <si>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</si>
  <si>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</si>
  <si>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</si>
  <si>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</si>
  <si>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</si>
  <si>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</si>
  <si>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</si>
  <si>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</si>
  <si>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</si>
  <si>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</si>
  <si>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</si>
  <si>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</si>
  <si>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</si>
  <si>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</si>
  <si>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</si>
  <si>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</si>
  <si>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</si>
  <si>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</si>
  <si>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</si>
  <si>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</si>
  <si>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</si>
  <si>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</si>
  <si>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</si>
  <si>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</si>
  <si>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</si>
  <si>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</si>
  <si>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</si>
  <si>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</si>
  <si>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</si>
  <si>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</si>
  <si>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</si>
  <si>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</si>
  <si>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</si>
  <si>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</si>
  <si>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</si>
  <si>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</si>
  <si>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</si>
  <si>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</si>
  <si>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</si>
  <si>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</si>
  <si>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</si>
  <si>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</si>
  <si>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</si>
  <si>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</si>
  <si>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</si>
  <si>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</si>
  <si>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</si>
  <si>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</si>
  <si>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</si>
  <si>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</si>
  <si>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</si>
  <si>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</si>
  <si>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</si>
  <si>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</si>
  <si>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</si>
  <si>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</si>
  <si>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</si>
  <si>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</si>
  <si>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</si>
  <si>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</si>
  <si>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</si>
  <si>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</si>
  <si>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</si>
  <si>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</si>
  <si>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</si>
  <si>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</si>
  <si>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</si>
  <si>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</si>
  <si>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</si>
  <si>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</si>
  <si>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</si>
  <si>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</si>
  <si>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</si>
  <si>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</si>
  <si>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</si>
  <si>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</si>
  <si>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</si>
  <si>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</si>
  <si>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</si>
  <si>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</si>
  <si>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</si>
  <si>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</si>
  <si>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</si>
  <si>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</si>
  <si>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</si>
  <si>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</si>
  <si>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</si>
  <si>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</si>
  <si>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</si>
  <si>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</si>
  <si>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</si>
  <si>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</si>
  <si>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</si>
  <si>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</si>
  <si>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</si>
  <si>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</si>
  <si>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</si>
  <si>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</si>
  <si>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</si>
  <si>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</si>
  <si>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</si>
  <si>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</si>
  <si>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</si>
  <si>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</si>
  <si>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</si>
  <si>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</si>
  <si>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</si>
  <si>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</si>
  <si>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</si>
  <si>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</si>
  <si>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</si>
  <si>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</si>
  <si>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</si>
  <si>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</si>
  <si>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</si>
  <si>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</si>
  <si>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</si>
  <si>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</si>
  <si>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</si>
  <si>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</si>
  <si>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</si>
  <si>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</si>
  <si>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</si>
  <si>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</si>
  <si>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</si>
  <si>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</si>
  <si>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</si>
  <si>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</si>
  <si>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</si>
  <si>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</si>
  <si>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</si>
  <si>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</si>
  <si>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</si>
  <si>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</si>
  <si>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</si>
  <si>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</si>
  <si>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</si>
  <si>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</si>
  <si>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</si>
  <si>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</si>
  <si>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</si>
  <si>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</si>
  <si>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</si>
  <si>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</si>
  <si>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</si>
  <si>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</si>
  <si>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</si>
  <si>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</si>
  <si>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</si>
  <si>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</si>
  <si>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</si>
  <si>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</si>
  <si>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</si>
  <si>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</si>
  <si>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</si>
  <si>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</si>
  <si>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</si>
  <si>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</si>
  <si>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</si>
  <si>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</si>
  <si>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</si>
  <si>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</si>
  <si>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</si>
  <si>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</si>
  <si>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</si>
  <si>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</si>
  <si>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</si>
  <si>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</si>
  <si>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</si>
  <si>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</si>
  <si>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</si>
  <si>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</si>
  <si>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</si>
  <si>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</si>
  <si>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</si>
  <si>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</si>
  <si>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</si>
  <si>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</si>
  <si>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</si>
  <si>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</si>
  <si>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</si>
  <si>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</si>
  <si>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</si>
  <si>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</si>
  <si>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</si>
  <si>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</si>
  <si>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</si>
  <si>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</si>
  <si>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</si>
  <si>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</si>
  <si>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</si>
  <si>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</si>
  <si>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</si>
  <si>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</si>
  <si>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</si>
  <si>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</si>
  <si>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</si>
  <si>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</si>
  <si>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</si>
  <si>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</si>
  <si>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</si>
  <si>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</si>
  <si>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</si>
  <si>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</si>
  <si>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</si>
  <si>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</si>
  <si>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</si>
  <si>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</si>
  <si>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</si>
  <si>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</si>
  <si>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</si>
  <si>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</si>
  <si>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</si>
  <si>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</si>
  <si>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</si>
  <si>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</si>
  <si>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</si>
  <si>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</si>
  <si>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</si>
  <si>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</si>
  <si>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</si>
  <si>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</si>
  <si>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</si>
  <si>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</si>
  <si>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</si>
  <si>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</si>
  <si>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</si>
  <si>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</si>
  <si>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</si>
  <si>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</si>
  <si>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</si>
  <si>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</si>
  <si>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</si>
  <si>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</si>
  <si>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</si>
  <si>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</si>
  <si>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</si>
  <si>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</si>
  <si>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</si>
  <si>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</si>
  <si>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</si>
  <si>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</si>
  <si>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</si>
  <si>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</si>
  <si>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</si>
  <si>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</si>
  <si>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</si>
  <si>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</si>
  <si>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</si>
  <si>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</si>
  <si>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</si>
  <si>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</si>
  <si>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</si>
  <si>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</si>
  <si>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</si>
  <si>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</si>
  <si>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</si>
  <si>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</si>
  <si>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</si>
  <si>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</si>
  <si>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</si>
  <si>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</si>
  <si>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</si>
  <si>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</si>
  <si>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</si>
  <si>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</si>
  <si>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</si>
  <si>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</si>
  <si>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</si>
  <si>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</si>
  <si>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</si>
  <si>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</si>
  <si>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</si>
  <si>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</si>
  <si>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</si>
  <si>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</si>
  <si>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</si>
  <si>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</si>
  <si>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</si>
  <si>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</si>
  <si>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</si>
  <si>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</si>
  <si>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</si>
  <si>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</si>
  <si>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</si>
  <si>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</si>
  <si>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</si>
  <si>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</si>
  <si>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</si>
  <si>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</si>
  <si>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</si>
  <si>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</si>
  <si>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</si>
  <si>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</si>
  <si>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</si>
  <si>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</si>
  <si>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</si>
  <si>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</si>
  <si>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</si>
  <si>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</si>
  <si>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</si>
  <si>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</si>
  <si>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</si>
  <si>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</si>
  <si>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</si>
  <si>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</si>
  <si>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</si>
  <si>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</si>
  <si>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</si>
  <si>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</si>
  <si>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</si>
  <si>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</si>
  <si>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</si>
  <si>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</si>
  <si>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</si>
  <si>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</si>
  <si>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</si>
  <si>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</si>
  <si>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</si>
  <si>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</si>
  <si>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</si>
  <si>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</si>
  <si>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</si>
  <si>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</si>
  <si>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</si>
  <si>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</si>
  <si>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</si>
  <si>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</si>
  <si>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</si>
  <si>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</si>
  <si>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</si>
  <si>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</si>
  <si>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</si>
  <si>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</si>
  <si>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</si>
  <si>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</si>
  <si>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</si>
  <si>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</si>
  <si>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</si>
  <si>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</si>
  <si>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</si>
  <si>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</si>
  <si>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</si>
  <si>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</si>
  <si>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</si>
  <si>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</si>
  <si>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</si>
  <si>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</si>
  <si>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</si>
  <si>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</si>
  <si>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</si>
  <si>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</si>
  <si>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</si>
  <si>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</si>
  <si>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</si>
  <si>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</si>
  <si>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</si>
  <si>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</si>
  <si>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</si>
  <si>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</si>
  <si>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</si>
  <si>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</si>
  <si>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</si>
  <si>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</si>
  <si>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</si>
  <si>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</si>
  <si>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</si>
  <si>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</si>
  <si>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</si>
  <si>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</si>
  <si>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</si>
  <si>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</si>
  <si>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</si>
  <si>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</si>
  <si>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</si>
  <si>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</si>
  <si>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</si>
  <si>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</si>
  <si>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</si>
  <si>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</si>
  <si>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</si>
  <si>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</si>
  <si>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</si>
  <si>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</si>
  <si>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</si>
  <si>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</si>
  <si>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</si>
  <si>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</si>
  <si>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</si>
  <si>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</si>
  <si>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</si>
  <si>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</si>
  <si>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</si>
  <si>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</si>
  <si>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</si>
  <si>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</si>
  <si>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</si>
  <si>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</si>
  <si>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</si>
  <si>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</si>
  <si>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</si>
  <si>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</si>
  <si>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</si>
  <si>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</si>
  <si>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</si>
  <si>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</si>
  <si>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</si>
  <si>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</si>
  <si>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</si>
  <si>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</si>
  <si>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</si>
  <si>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</si>
  <si>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</si>
  <si>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</si>
  <si>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</si>
  <si>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</si>
  <si>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</si>
  <si>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</si>
  <si>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</si>
  <si>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</si>
  <si>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</si>
  <si>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</si>
  <si>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</si>
  <si>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</si>
  <si>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</si>
  <si>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</si>
  <si>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</si>
  <si>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</si>
  <si>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</si>
  <si>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</si>
  <si>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</si>
  <si>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</si>
  <si>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</si>
  <si>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</si>
  <si>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</si>
  <si>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</si>
  <si>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</si>
  <si>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</si>
  <si>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</si>
  <si>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</si>
  <si>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</si>
  <si>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</si>
  <si>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</si>
  <si>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</si>
  <si>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</si>
  <si>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</si>
  <si>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</si>
  <si>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</si>
  <si>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</si>
  <si>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</si>
  <si>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</si>
  <si>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</si>
  <si>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</si>
  <si>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</si>
  <si>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</si>
  <si>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</si>
  <si>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</si>
  <si>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</si>
  <si>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</si>
  <si>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</si>
  <si>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</si>
  <si>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</si>
  <si>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</si>
  <si>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</si>
  <si>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</si>
  <si>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</si>
  <si>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</si>
  <si>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</si>
  <si>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</si>
  <si>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</si>
  <si>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</si>
  <si>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</si>
  <si>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</si>
  <si>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</si>
  <si>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</si>
  <si>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</si>
  <si>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</si>
  <si>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</si>
  <si>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</si>
  <si>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</si>
  <si>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</si>
  <si>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</si>
  <si>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</si>
  <si>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</si>
  <si>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</si>
  <si>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</si>
  <si>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</si>
  <si>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</si>
  <si>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</si>
  <si>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</si>
  <si>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</si>
  <si>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</si>
  <si>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</si>
  <si>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</si>
  <si>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</si>
  <si>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</si>
  <si>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</si>
  <si>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</si>
  <si>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</si>
  <si>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</si>
  <si>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</si>
  <si>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</si>
  <si>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</si>
  <si>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</si>
  <si>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</si>
  <si>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</si>
  <si>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</si>
  <si>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</si>
  <si>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</si>
  <si>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</si>
  <si>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</si>
  <si>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</si>
  <si>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</si>
  <si>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</si>
  <si>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</si>
  <si>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</si>
  <si>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</si>
  <si>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</si>
  <si>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</si>
  <si>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</si>
  <si>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</si>
  <si>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</si>
  <si>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</si>
  <si>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</si>
  <si>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</si>
  <si>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</si>
  <si>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</si>
  <si>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</si>
  <si>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</si>
  <si>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</si>
  <si>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</si>
  <si>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</si>
  <si>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</si>
  <si>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</si>
  <si>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</si>
  <si>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</si>
  <si>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</si>
  <si>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</si>
  <si>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</si>
  <si>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</si>
  <si>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</si>
  <si>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</si>
  <si>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</si>
  <si>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</si>
  <si>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</si>
  <si>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</si>
  <si>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</si>
  <si>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</si>
  <si>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</si>
  <si>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</si>
  <si>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</si>
  <si>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</si>
  <si>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</si>
  <si>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</si>
  <si>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</si>
  <si>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</si>
  <si>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</si>
  <si>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</si>
  <si>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</si>
  <si>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</si>
  <si>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</si>
  <si>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</si>
  <si>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</si>
  <si>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</si>
  <si>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</si>
  <si>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</si>
  <si>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</si>
  <si>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</si>
  <si>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</si>
  <si>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</si>
  <si>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</si>
  <si>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</si>
  <si>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</si>
  <si>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</si>
  <si>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</si>
  <si>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</si>
  <si>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</si>
  <si>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</si>
  <si>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</si>
  <si>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</si>
  <si>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</si>
  <si>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</si>
  <si>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</si>
  <si>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</si>
  <si>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</si>
  <si>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</si>
  <si>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</si>
  <si>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</si>
  <si>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</si>
  <si>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</si>
  <si>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</si>
  <si>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</si>
  <si>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</si>
  <si>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</si>
  <si>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</si>
  <si>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</si>
  <si>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</si>
  <si>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</si>
  <si>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</si>
  <si>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</si>
  <si>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</si>
  <si>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</si>
  <si>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</si>
  <si>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</si>
  <si>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</si>
  <si>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</si>
  <si>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</si>
  <si>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</si>
  <si>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</si>
  <si>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</si>
  <si>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</si>
  <si>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</si>
  <si>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</si>
  <si>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</si>
  <si>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</si>
  <si>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</si>
  <si>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</si>
  <si>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</si>
  <si>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</si>
  <si>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</si>
  <si>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</si>
  <si>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</si>
  <si>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</si>
  <si>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</si>
  <si>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</si>
  <si>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</si>
  <si>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</si>
  <si>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</si>
  <si>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</si>
  <si>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</si>
  <si>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</si>
  <si>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</si>
  <si>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</si>
  <si>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</si>
  <si>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</si>
  <si>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</si>
  <si>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</si>
  <si>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</si>
  <si>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</si>
  <si>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</si>
  <si>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</si>
  <si>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</si>
  <si>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</si>
  <si>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</si>
  <si>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</si>
  <si>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</si>
  <si>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</si>
  <si>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</si>
  <si>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</si>
  <si>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</si>
  <si>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</si>
  <si>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</si>
  <si>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</si>
  <si>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</si>
  <si>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</si>
  <si>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</si>
  <si>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</si>
  <si>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</si>
  <si>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</si>
  <si>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</si>
  <si>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</si>
  <si>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</si>
  <si>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</si>
  <si>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</si>
  <si>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</si>
  <si>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</si>
  <si>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</si>
  <si>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</si>
  <si>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</si>
  <si>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</si>
  <si>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</si>
  <si>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</si>
  <si>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</si>
  <si>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</si>
  <si>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</si>
  <si>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</si>
  <si>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</si>
  <si>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</si>
  <si>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</si>
  <si>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</si>
  <si>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</si>
  <si>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</si>
  <si>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</si>
  <si>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</si>
  <si>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</si>
  <si>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</si>
  <si>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</si>
  <si>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</si>
  <si>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</si>
  <si>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</si>
  <si>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</si>
  <si>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</si>
  <si>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</si>
  <si>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</si>
  <si>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</si>
  <si>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</si>
  <si>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</si>
  <si>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</si>
  <si>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</si>
  <si>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</si>
  <si>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</si>
  <si>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</si>
  <si>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</si>
  <si>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</si>
  <si>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</si>
  <si>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</si>
  <si>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</si>
  <si>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</si>
  <si>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</si>
  <si>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</si>
  <si>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</si>
  <si>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</si>
  <si>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</si>
  <si>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</si>
  <si>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</si>
  <si>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</si>
  <si>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</si>
  <si>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</si>
  <si>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</si>
  <si>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</si>
  <si>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</si>
  <si>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</si>
  <si>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</si>
  <si>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</si>
  <si>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</si>
  <si>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</si>
  <si>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</si>
  <si>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</si>
  <si>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</si>
  <si>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</si>
  <si>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</si>
  <si>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</si>
  <si>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</si>
  <si>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</si>
  <si>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</si>
  <si>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</si>
  <si>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</si>
  <si>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</si>
  <si>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</si>
  <si>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</si>
  <si>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</si>
  <si>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</si>
  <si>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</si>
  <si>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</si>
  <si>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</si>
  <si>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</si>
  <si>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</si>
  <si>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</si>
  <si>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</si>
  <si>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</si>
  <si>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</si>
  <si>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</si>
  <si>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</si>
  <si>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</si>
  <si>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</si>
  <si>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</si>
  <si>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</si>
  <si>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</si>
  <si>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</si>
  <si>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</si>
  <si>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</si>
  <si>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</si>
  <si>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</si>
  <si>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</si>
  <si>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</si>
  <si>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</si>
  <si>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</si>
  <si>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</si>
  <si>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</si>
  <si>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</si>
  <si>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</si>
  <si>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</si>
  <si>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</si>
  <si>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</si>
  <si>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</si>
  <si>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</si>
  <si>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</si>
  <si>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</si>
  <si>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</si>
  <si>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</si>
  <si>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</si>
  <si>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</si>
  <si>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</si>
  <si>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</si>
  <si>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</si>
  <si>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</si>
  <si>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</si>
  <si>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</si>
  <si>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</si>
  <si>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</si>
  <si>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</si>
  <si>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</si>
  <si>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</si>
  <si>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</si>
  <si>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</si>
  <si>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</si>
  <si>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</si>
  <si>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</si>
  <si>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</si>
  <si>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</si>
  <si>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</si>
  <si>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</si>
  <si>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</si>
  <si>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</si>
  <si>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</si>
  <si>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</si>
  <si>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</si>
  <si>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</si>
  <si>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</si>
  <si>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</si>
  <si>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</si>
  <si>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</si>
  <si>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</si>
  <si>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</si>
  <si>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</si>
  <si>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</si>
  <si>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</si>
  <si>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</si>
  <si>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</si>
  <si>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</si>
  <si>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</si>
  <si>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</si>
  <si>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</si>
  <si>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</si>
  <si>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</si>
  <si>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</si>
  <si>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</si>
  <si>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</si>
  <si>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</si>
  <si>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</si>
  <si>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</si>
  <si>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</si>
  <si>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</si>
  <si>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</si>
  <si>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</si>
  <si>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</si>
  <si>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</si>
  <si>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</si>
  <si>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</si>
  <si>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</si>
  <si>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</si>
  <si>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</si>
  <si>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</si>
  <si>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</si>
  <si>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</si>
  <si>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</si>
  <si>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</si>
  <si>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</si>
  <si>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</si>
  <si>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</si>
  <si>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</si>
  <si>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</si>
  <si>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</si>
  <si>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</si>
  <si>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</si>
  <si>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</si>
  <si>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</si>
  <si>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</si>
  <si>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</si>
  <si>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</si>
  <si>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</si>
  <si>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</si>
  <si>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</si>
  <si>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</si>
  <si>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</si>
  <si>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</si>
  <si>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</si>
  <si>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</si>
  <si>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</si>
  <si>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</si>
  <si>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</si>
  <si>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</si>
  <si>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</si>
  <si>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</si>
  <si>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</si>
  <si>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</si>
  <si>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</si>
  <si>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</si>
  <si>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</si>
  <si>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</si>
  <si>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</si>
  <si>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</si>
  <si>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</si>
  <si>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</si>
  <si>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</si>
  <si>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</si>
  <si>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</si>
  <si>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</si>
  <si>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</si>
  <si>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</si>
  <si>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</si>
  <si>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</si>
  <si>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</si>
  <si>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</si>
  <si>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</si>
  <si>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</si>
  <si>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</si>
  <si>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</si>
  <si>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</si>
  <si>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</si>
  <si>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</si>
  <si>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</si>
  <si>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</si>
  <si>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</si>
  <si>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</si>
  <si>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</si>
  <si>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</si>
  <si>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</si>
  <si>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</si>
  <si>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</si>
  <si>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</si>
  <si>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</si>
  <si>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</si>
  <si>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</si>
  <si>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</si>
  <si>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</si>
  <si>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</si>
  <si>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</si>
  <si>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</si>
  <si>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</si>
  <si>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</si>
  <si>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</si>
  <si>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</si>
  <si>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</si>
  <si>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</si>
  <si>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</si>
  <si>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</si>
  <si>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</si>
  <si>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</si>
  <si>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</si>
  <si>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</si>
  <si>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</si>
  <si>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</si>
  <si>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</si>
  <si>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</si>
  <si>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</si>
  <si>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</si>
  <si>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</si>
  <si>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</si>
  <si>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</si>
  <si>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</si>
  <si>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</si>
  <si>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</si>
  <si>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</si>
  <si>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</si>
  <si>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</si>
  <si>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</si>
  <si>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</si>
  <si>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</si>
  <si>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</si>
  <si>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</si>
  <si>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</si>
  <si>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</si>
  <si>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</si>
  <si>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</si>
  <si>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</si>
  <si>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</si>
  <si>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</si>
  <si>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</si>
  <si>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</si>
  <si>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</si>
  <si>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</si>
  <si>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</si>
  <si>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</si>
  <si>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</si>
  <si>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</si>
  <si>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</si>
  <si>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</si>
  <si>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</si>
  <si>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</si>
  <si>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</si>
  <si>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</si>
  <si>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</si>
  <si>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</si>
  <si>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</si>
  <si>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</si>
  <si>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</si>
  <si>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</si>
  <si>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</si>
  <si>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</si>
  <si>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</si>
  <si>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</si>
  <si>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</si>
  <si>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</si>
  <si>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</si>
  <si>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</si>
  <si>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</si>
  <si>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</si>
  <si>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</si>
  <si>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</si>
  <si>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</si>
  <si>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</si>
  <si>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</si>
  <si>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</si>
  <si>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</si>
  <si>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</si>
  <si>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</si>
  <si>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</si>
  <si>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</si>
  <si>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</si>
  <si>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</si>
  <si>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</si>
  <si>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</si>
  <si>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</si>
  <si>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</si>
  <si>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</si>
  <si>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</si>
  <si>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</si>
  <si>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</si>
  <si>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</si>
  <si>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</si>
  <si>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</si>
  <si>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</si>
  <si>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</si>
  <si>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</si>
  <si>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</si>
  <si>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</si>
  <si>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</si>
  <si>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</si>
  <si>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</si>
  <si>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</si>
  <si>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</si>
  <si>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</si>
  <si>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</si>
  <si>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</si>
  <si>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</si>
  <si>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</si>
  <si>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</si>
  <si>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</si>
  <si>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</si>
  <si>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</si>
  <si>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</si>
  <si>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</si>
  <si>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</si>
  <si>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</si>
  <si>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</si>
  <si>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</si>
  <si>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</si>
  <si>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</si>
  <si>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</si>
  <si>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</si>
  <si>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</si>
  <si>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</si>
  <si>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</si>
  <si>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</si>
  <si>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</si>
  <si>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</si>
  <si>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</si>
  <si>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</si>
  <si>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</si>
  <si>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</si>
  <si>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</si>
  <si>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</si>
  <si>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</si>
  <si>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</si>
  <si>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</si>
  <si>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</si>
  <si>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</si>
  <si>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</si>
  <si>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</si>
  <si>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</si>
  <si>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</si>
  <si>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</si>
  <si>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</si>
  <si>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</si>
  <si>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</si>
  <si>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</si>
  <si>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</si>
  <si>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</si>
  <si>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</si>
  <si>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</si>
  <si>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</si>
  <si>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</si>
  <si>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</si>
  <si>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</si>
  <si>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</si>
  <si>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</si>
  <si>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</si>
  <si>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</si>
  <si>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</si>
  <si>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</si>
  <si>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</si>
  <si>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</si>
  <si>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</si>
  <si>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</si>
  <si>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</si>
  <si>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</si>
  <si>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</si>
  <si>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</si>
  <si>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</si>
  <si>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</si>
  <si>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</si>
  <si>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</si>
  <si>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</si>
  <si>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</si>
  <si>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</si>
  <si>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</si>
  <si>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</si>
  <si>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</si>
  <si>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</si>
  <si>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</si>
  <si>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</si>
  <si>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</si>
  <si>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</si>
  <si>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</si>
  <si>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</si>
  <si>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</si>
  <si>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</si>
  <si>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</si>
  <si>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</si>
  <si>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</si>
  <si>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</si>
  <si>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</si>
  <si>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</si>
  <si>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</si>
  <si>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</si>
  <si>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</si>
  <si>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</si>
  <si>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</si>
  <si>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</si>
  <si>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</si>
  <si>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</si>
  <si>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</si>
  <si>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</si>
  <si>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</si>
  <si>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</si>
  <si>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</si>
  <si>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</si>
  <si>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</si>
  <si>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</si>
  <si>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</si>
  <si>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</si>
  <si>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</si>
  <si>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</si>
  <si>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</si>
  <si>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</si>
  <si>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</si>
  <si>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</si>
  <si>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</si>
  <si>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</si>
  <si>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</si>
  <si>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</si>
  <si>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</si>
  <si>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</si>
  <si>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</si>
  <si>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</si>
  <si>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</si>
  <si>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</si>
  <si>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</si>
  <si>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</si>
  <si>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</si>
  <si>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</si>
  <si>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</si>
  <si>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</si>
  <si>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</si>
  <si>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</si>
  <si>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</si>
  <si>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</si>
  <si>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</si>
  <si>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</si>
  <si>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</si>
  <si>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</si>
  <si>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</si>
  <si>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</si>
  <si>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</si>
  <si>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</si>
  <si>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</si>
  <si>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</si>
  <si>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</si>
  <si>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</si>
  <si>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</si>
  <si>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</si>
  <si>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</si>
  <si>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</si>
  <si>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</si>
  <si>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</si>
  <si>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</si>
  <si>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</si>
  <si>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</si>
  <si>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</si>
  <si>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</si>
  <si>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</si>
  <si>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</si>
  <si>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</si>
  <si>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</si>
  <si>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</si>
  <si>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</si>
  <si>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</si>
  <si>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</si>
  <si>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</si>
  <si>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</si>
  <si>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</si>
  <si>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</si>
  <si>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</si>
  <si>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</si>
  <si>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</si>
  <si>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</si>
  <si>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</si>
  <si>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</si>
  <si>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</si>
  <si>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</si>
  <si>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</si>
  <si>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</si>
  <si>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</si>
  <si>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</si>
  <si>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</si>
  <si>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</si>
  <si>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</si>
  <si>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</si>
  <si>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</si>
  <si>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</si>
  <si>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</si>
  <si>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</si>
  <si>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</si>
  <si>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</si>
  <si>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</si>
  <si>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</si>
  <si>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</si>
  <si>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</si>
  <si>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</si>
  <si>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</si>
  <si>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</si>
  <si>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</si>
  <si>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</si>
  <si>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</si>
  <si>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</si>
  <si>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</si>
  <si>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</si>
  <si>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</si>
  <si>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</si>
  <si>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</si>
  <si>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</si>
  <si>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</si>
  <si>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</si>
  <si>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</si>
  <si>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</si>
  <si>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</si>
  <si>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</si>
  <si>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</si>
  <si>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</si>
  <si>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</si>
  <si>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</si>
  <si>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</si>
  <si>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</si>
  <si>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</si>
  <si>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</si>
  <si>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</si>
  <si>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</si>
  <si>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</si>
  <si>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</si>
  <si>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</si>
  <si>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</si>
  <si>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</si>
  <si>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</si>
  <si>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</si>
  <si>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</si>
  <si>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</si>
  <si>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</si>
  <si>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</si>
  <si>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</si>
  <si>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</si>
  <si>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</si>
  <si>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</si>
  <si>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</si>
  <si>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</si>
  <si>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</si>
  <si>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</si>
  <si>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</si>
  <si>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</si>
  <si>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</si>
  <si>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</si>
  <si>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</si>
  <si>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</si>
  <si>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</si>
  <si>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</si>
  <si>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</si>
  <si>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</si>
  <si>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</si>
  <si>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</si>
  <si>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</si>
  <si>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</si>
  <si>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</si>
  <si>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</si>
  <si>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</si>
  <si>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</si>
  <si>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</si>
  <si>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</si>
  <si>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</si>
  <si>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</si>
  <si>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</si>
  <si>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</si>
  <si>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</si>
  <si>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</si>
  <si>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</si>
  <si>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</si>
  <si>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</si>
  <si>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</si>
  <si>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</si>
  <si>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</si>
  <si>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</si>
  <si>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</si>
  <si>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</si>
  <si>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</si>
  <si>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</si>
  <si>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</si>
  <si>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</si>
  <si>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</si>
  <si>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</si>
  <si>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</si>
  <si>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</si>
  <si>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</si>
  <si>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</si>
  <si>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</si>
  <si>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</si>
  <si>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</si>
  <si>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</si>
  <si>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</si>
  <si>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</si>
  <si>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</si>
  <si>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</si>
  <si>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</si>
  <si>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</si>
  <si>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</si>
  <si>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</si>
  <si>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</si>
  <si>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</si>
  <si>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</si>
  <si>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</si>
  <si>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</si>
  <si>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</si>
  <si>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</si>
  <si>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</si>
  <si>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</si>
  <si>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</si>
  <si>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</si>
  <si>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</si>
  <si>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</si>
  <si>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</si>
  <si>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</si>
  <si>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</si>
  <si>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</si>
  <si>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</si>
  <si>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</si>
  <si>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</si>
  <si>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</si>
  <si>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</si>
  <si>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</si>
  <si>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</si>
  <si>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</si>
  <si>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</si>
  <si>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</si>
  <si>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</si>
  <si>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</si>
  <si>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</si>
  <si>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</si>
  <si>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</si>
  <si>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</si>
  <si>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</si>
  <si>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</si>
  <si>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</si>
  <si>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</si>
  <si>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</si>
  <si>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</si>
  <si>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</si>
  <si>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</si>
  <si>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</si>
  <si>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</si>
  <si>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</si>
  <si>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</si>
  <si>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</si>
  <si>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</si>
  <si>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</si>
  <si>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</si>
  <si>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</si>
  <si>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</si>
  <si>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</si>
  <si>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</si>
  <si>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</si>
  <si>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</si>
  <si>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</si>
  <si>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</si>
  <si>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</si>
  <si>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</si>
  <si>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</si>
  <si>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</si>
  <si>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</si>
  <si>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</si>
  <si>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</si>
  <si>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</si>
  <si>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</si>
  <si>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</si>
  <si>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</si>
  <si>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</si>
  <si>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</si>
  <si>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</si>
  <si>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</si>
  <si>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</si>
  <si>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</si>
  <si>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</si>
  <si>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</si>
  <si>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</si>
  <si>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</si>
  <si>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</si>
  <si>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</si>
  <si>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</si>
  <si>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</si>
  <si>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</si>
  <si>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</si>
  <si>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</si>
  <si>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</si>
  <si>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</si>
  <si>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</si>
  <si>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</si>
  <si>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</si>
  <si>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</si>
  <si>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</si>
  <si>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</si>
  <si>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</si>
  <si>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</si>
  <si>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</si>
  <si>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</si>
  <si>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</si>
  <si>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</si>
  <si>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</si>
  <si>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</si>
  <si>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</si>
  <si>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</si>
  <si>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</si>
  <si>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</si>
  <si>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</si>
  <si>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</si>
  <si>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</si>
  <si>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</si>
  <si>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</si>
  <si>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</si>
  <si>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</si>
  <si>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</si>
  <si>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</si>
  <si>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</si>
  <si>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</si>
  <si>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</si>
  <si>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</si>
  <si>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</si>
  <si>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</si>
  <si>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</si>
  <si>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</si>
  <si>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</si>
  <si>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</si>
  <si>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</si>
  <si>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</si>
  <si>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</si>
  <si>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</si>
  <si>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</si>
  <si>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</si>
  <si>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</si>
  <si>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</si>
  <si>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</si>
  <si>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</si>
  <si>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</si>
  <si>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</si>
  <si>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</si>
  <si>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</si>
  <si>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</si>
  <si>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</si>
  <si>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</si>
  <si>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</si>
  <si>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</si>
  <si>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</si>
  <si>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</si>
  <si>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</si>
  <si>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</si>
  <si>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</si>
  <si>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</si>
  <si>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</si>
  <si>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</si>
  <si>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</si>
  <si>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</si>
  <si>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</si>
  <si>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</si>
  <si>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</si>
  <si>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</si>
  <si>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</si>
  <si>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</si>
  <si>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</si>
  <si>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</si>
  <si>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</si>
  <si>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</si>
  <si>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</si>
  <si>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</si>
  <si>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</si>
  <si>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</si>
  <si>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</si>
  <si>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</si>
  <si>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</si>
  <si>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</si>
  <si>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</si>
  <si>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</si>
  <si>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</si>
  <si>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</si>
  <si>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</si>
  <si>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</si>
  <si>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</si>
  <si>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</si>
  <si>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</si>
  <si>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</si>
  <si>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</si>
  <si>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</si>
  <si>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</si>
  <si>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</si>
  <si>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</si>
  <si>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</si>
  <si>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</si>
  <si>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</si>
  <si>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</si>
  <si>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</si>
  <si>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</si>
  <si>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</si>
  <si>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</si>
  <si>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</si>
  <si>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</si>
  <si>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</si>
  <si>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</si>
  <si>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</si>
  <si>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</si>
  <si>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</si>
  <si>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</si>
  <si>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</si>
  <si>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</si>
  <si>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</si>
  <si>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</si>
  <si>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</si>
  <si>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</si>
  <si>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</si>
  <si>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</si>
  <si>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</si>
  <si>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</si>
  <si>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</si>
  <si>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</si>
  <si>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</si>
  <si>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</si>
  <si>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</si>
  <si>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</si>
  <si>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</si>
  <si>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</si>
  <si>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</si>
  <si>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</si>
  <si>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</si>
  <si>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</si>
  <si>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</si>
  <si>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</si>
  <si>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</si>
  <si>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</si>
  <si>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</si>
  <si>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</si>
  <si>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</si>
  <si>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</si>
  <si>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</si>
  <si>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</si>
  <si>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</si>
  <si>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</si>
  <si>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</si>
  <si>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</si>
  <si>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</si>
  <si>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</si>
  <si>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</si>
  <si>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</si>
  <si>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</si>
  <si>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</si>
  <si>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</si>
  <si>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</si>
  <si>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</si>
  <si>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</si>
  <si>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</si>
  <si>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</si>
  <si>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</si>
  <si>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</si>
  <si>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</si>
  <si>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</si>
  <si>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</si>
  <si>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</si>
  <si>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</si>
  <si>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</si>
  <si>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</si>
  <si>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</si>
  <si>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</si>
  <si>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</si>
  <si>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</si>
  <si>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</si>
  <si>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</si>
  <si>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</si>
  <si>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</si>
  <si>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</si>
  <si>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</si>
  <si>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</si>
  <si>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</si>
  <si>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</si>
  <si>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</si>
  <si>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</si>
  <si>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</si>
  <si>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</si>
  <si>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</si>
  <si>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</si>
  <si>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</si>
  <si>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</si>
  <si>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</si>
  <si>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</si>
  <si>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</si>
  <si>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</si>
  <si>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</si>
  <si>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</si>
  <si>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</si>
  <si>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</si>
  <si>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</si>
  <si>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</si>
  <si>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</si>
  <si>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</si>
  <si>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</si>
  <si>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</si>
  <si>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</si>
  <si>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</si>
  <si>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</si>
  <si>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</si>
  <si>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</si>
  <si>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</si>
  <si>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</si>
  <si>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</si>
  <si>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</si>
  <si>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</si>
  <si>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</si>
  <si>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</si>
  <si>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</si>
  <si>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</si>
  <si>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</si>
  <si>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</si>
  <si>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</si>
  <si>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</si>
  <si>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</si>
  <si>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</si>
  <si>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</si>
  <si>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</si>
  <si>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</si>
  <si>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</si>
  <si>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</si>
  <si>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</si>
  <si>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</si>
  <si>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</si>
  <si>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</si>
  <si>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</si>
  <si>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</si>
  <si>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</si>
  <si>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</si>
  <si>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</si>
  <si>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</si>
  <si>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</si>
  <si>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</si>
  <si>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</si>
  <si>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</si>
  <si>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</si>
  <si>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</si>
  <si>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</si>
  <si>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</si>
  <si>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</si>
  <si>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</si>
  <si>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</si>
  <si>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</si>
  <si>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</si>
  <si>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</si>
  <si>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</si>
  <si>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</si>
  <si>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</si>
  <si>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</si>
  <si>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</si>
  <si>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</si>
  <si>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</si>
  <si>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</si>
  <si>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</si>
  <si>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</si>
  <si>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</si>
  <si>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</si>
  <si>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</si>
  <si>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</si>
  <si>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</si>
  <si>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</si>
  <si>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</si>
  <si>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</si>
  <si>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</si>
  <si>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</si>
  <si>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</si>
  <si>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</si>
  <si>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</si>
  <si>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</si>
  <si>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</si>
  <si>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</si>
  <si>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</si>
  <si>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</si>
  <si>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</si>
  <si>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</si>
  <si>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</si>
  <si>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</si>
  <si>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</si>
  <si>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</si>
  <si>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</si>
  <si>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</si>
  <si>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</si>
  <si>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</si>
  <si>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</si>
  <si>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</si>
  <si>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</si>
  <si>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</si>
  <si>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</si>
  <si>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</si>
  <si>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</si>
  <si>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</si>
  <si>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</si>
  <si>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</si>
  <si>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</si>
  <si>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</si>
  <si>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</si>
  <si>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</si>
  <si>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</si>
  <si>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</si>
  <si>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</si>
  <si>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</si>
  <si>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</si>
  <si>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</si>
  <si>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</si>
  <si>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</si>
  <si>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</si>
  <si>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</si>
  <si>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</si>
  <si>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</si>
  <si>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</si>
  <si>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</si>
  <si>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</si>
  <si>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</si>
  <si>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</si>
  <si>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</si>
  <si>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</si>
  <si>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</si>
  <si>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</si>
  <si>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</si>
  <si>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</si>
  <si>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</si>
  <si>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</si>
  <si>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</si>
  <si>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</si>
  <si>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</si>
  <si>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</si>
  <si>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</si>
  <si>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</si>
  <si>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</si>
  <si>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</si>
  <si>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</si>
  <si>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</si>
  <si>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</si>
  <si>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</si>
  <si>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</si>
  <si>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</si>
  <si>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</si>
  <si>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</si>
  <si>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</si>
  <si>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</si>
  <si>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</si>
  <si>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</si>
  <si>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</si>
  <si>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</si>
  <si>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</si>
  <si>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</si>
  <si>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</si>
  <si>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</si>
  <si>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</si>
  <si>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</si>
  <si>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</si>
  <si>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</si>
  <si>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</si>
  <si>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</si>
  <si>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</si>
  <si>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</si>
  <si>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</si>
  <si>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</si>
  <si>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</si>
  <si>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</si>
  <si>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</si>
  <si>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</si>
  <si>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</si>
  <si>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</si>
  <si>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</si>
  <si>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</si>
  <si>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</si>
  <si>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</si>
  <si>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</si>
  <si>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</si>
  <si>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</si>
  <si>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</si>
  <si>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</si>
  <si>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</si>
  <si>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</si>
  <si>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</si>
  <si>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</si>
  <si>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</si>
  <si>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</si>
  <si>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</si>
  <si>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</si>
  <si>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</si>
  <si>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</si>
  <si>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</si>
  <si>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</si>
  <si>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</si>
  <si>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</si>
  <si>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</si>
  <si>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</si>
  <si>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</si>
  <si>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</si>
  <si>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</si>
  <si>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</si>
  <si>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</si>
  <si>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</si>
  <si>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</si>
  <si>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</si>
  <si>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</si>
  <si>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</si>
  <si>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</si>
  <si>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</si>
  <si>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</si>
  <si>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</si>
  <si>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</si>
  <si>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</si>
  <si>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</si>
  <si>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</si>
  <si>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</si>
  <si>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</si>
  <si>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</si>
  <si>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</si>
  <si>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</si>
  <si>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</si>
  <si>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</si>
  <si>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</si>
  <si>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</si>
  <si>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</si>
  <si>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</si>
  <si>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</si>
  <si>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</si>
  <si>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</si>
  <si>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</si>
  <si>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</si>
  <si>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</si>
  <si>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</si>
  <si>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</si>
  <si>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</si>
  <si>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</si>
  <si>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</si>
  <si>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</si>
  <si>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</si>
  <si>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</si>
  <si>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</si>
  <si>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</si>
  <si>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</si>
  <si>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</si>
  <si>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</si>
  <si>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</si>
  <si>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</si>
  <si>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</si>
  <si>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</si>
  <si>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</si>
  <si>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</si>
  <si>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</si>
  <si>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</si>
  <si>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</si>
  <si>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</si>
  <si>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</si>
  <si>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</si>
  <si>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</si>
  <si>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</si>
  <si>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</si>
  <si>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</si>
  <si>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</si>
  <si>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</si>
  <si>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</si>
  <si>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</si>
  <si>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</si>
  <si>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</si>
  <si>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</si>
  <si>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</si>
  <si>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</si>
  <si>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</si>
  <si>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</si>
  <si>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</si>
  <si>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</si>
  <si>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</si>
  <si>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</si>
  <si>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</si>
  <si>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</si>
  <si>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</si>
  <si>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</si>
  <si>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</si>
  <si>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</si>
  <si>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</si>
  <si>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</si>
  <si>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</si>
  <si>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</si>
  <si>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</si>
  <si>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</si>
  <si>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</si>
  <si>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</si>
  <si>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</si>
  <si>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</si>
  <si>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</si>
  <si>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</si>
  <si>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</si>
  <si>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</si>
  <si>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</si>
  <si>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</si>
  <si>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</si>
  <si>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</si>
  <si>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</si>
  <si>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</si>
  <si>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</si>
  <si>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</si>
  <si>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</si>
  <si>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</si>
  <si>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</si>
  <si>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</si>
  <si>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</si>
  <si>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</si>
  <si>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</si>
  <si>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</si>
  <si>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</si>
  <si>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</si>
  <si>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</si>
  <si>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</si>
  <si>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</si>
  <si>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</si>
  <si>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</si>
  <si>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</si>
  <si>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</si>
  <si>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</si>
  <si>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</si>
  <si>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</si>
  <si>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</si>
  <si>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</si>
  <si>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</si>
  <si>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</si>
  <si>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</si>
  <si>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</si>
  <si>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</si>
  <si>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</si>
  <si>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</si>
  <si>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</si>
  <si>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</si>
  <si>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</si>
  <si>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</si>
  <si>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</si>
  <si>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</si>
  <si>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</si>
  <si>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</si>
  <si>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</si>
  <si>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</si>
  <si>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</si>
  <si>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</si>
  <si>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</si>
  <si>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</si>
  <si>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</si>
  <si>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</si>
  <si>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</si>
  <si>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</si>
  <si>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</si>
  <si>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</si>
  <si>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</si>
  <si>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</si>
  <si>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</si>
  <si>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</si>
  <si>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</si>
  <si>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</si>
  <si>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</si>
  <si>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</si>
  <si>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</si>
  <si>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</si>
  <si>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</si>
  <si>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</si>
  <si>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</si>
  <si>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</si>
  <si>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</si>
  <si>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</si>
  <si>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</si>
  <si>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</si>
  <si>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</si>
  <si>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</si>
  <si>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</si>
  <si>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</si>
  <si>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</si>
  <si>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</si>
  <si>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</si>
  <si>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</si>
  <si>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</si>
  <si>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</si>
  <si>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</si>
  <si>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</si>
  <si>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</si>
  <si>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</si>
  <si>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</si>
  <si>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</si>
  <si>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</si>
  <si>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</si>
  <si>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</si>
  <si>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</si>
  <si>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</si>
  <si>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</si>
  <si>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</si>
  <si>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</si>
  <si>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</si>
  <si>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</si>
  <si>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</si>
  <si>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</si>
  <si>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</si>
  <si>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</si>
  <si>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</si>
  <si>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</si>
  <si>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</si>
  <si>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</si>
  <si>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</si>
  <si>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</si>
  <si>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</si>
  <si>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</si>
  <si>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</si>
  <si>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</si>
  <si>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</si>
  <si>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</si>
  <si>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</si>
  <si>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</si>
  <si>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</si>
  <si>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</si>
  <si>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</si>
  <si>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</si>
  <si>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</si>
  <si>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</si>
  <si>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</si>
  <si>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</si>
  <si>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</si>
  <si>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</si>
  <si>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</si>
  <si>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</si>
  <si>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</si>
  <si>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</si>
  <si>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</si>
  <si>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</si>
  <si>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</si>
  <si>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</si>
  <si>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</si>
  <si>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</si>
  <si>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</si>
  <si>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</si>
  <si>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</si>
  <si>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</si>
  <si>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</si>
  <si>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</si>
  <si>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</si>
  <si>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</si>
  <si>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</si>
  <si>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</si>
  <si>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</si>
  <si>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</si>
  <si>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</si>
  <si>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</si>
  <si>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</si>
  <si>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</si>
  <si>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</si>
  <si>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</si>
  <si>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</si>
  <si>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</si>
  <si>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</si>
  <si>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</si>
  <si>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</si>
  <si>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</si>
  <si>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</si>
  <si>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</si>
  <si>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</si>
  <si>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</si>
  <si>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</si>
  <si>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</si>
  <si>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</si>
  <si>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</si>
  <si>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</si>
  <si>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</si>
  <si>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</si>
  <si>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</si>
  <si>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</si>
  <si>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</si>
  <si>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</si>
  <si>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</si>
  <si>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</si>
  <si>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</si>
  <si>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</si>
  <si>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</si>
  <si>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</si>
  <si>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</si>
  <si>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</si>
  <si>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</si>
  <si>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</si>
  <si>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</si>
  <si>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</si>
  <si>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</si>
  <si>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</si>
  <si>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</si>
  <si>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</si>
  <si>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</si>
  <si>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</si>
  <si>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</si>
  <si>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</si>
  <si>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</si>
  <si>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</si>
  <si>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</si>
  <si>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</si>
  <si>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</si>
  <si>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</si>
  <si>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</si>
  <si>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</si>
  <si>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</si>
  <si>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</si>
  <si>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</si>
  <si>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</si>
  <si>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</si>
  <si>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</si>
  <si>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</si>
  <si>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</si>
  <si>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</si>
  <si>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</si>
  <si>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</si>
  <si>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</si>
  <si>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</si>
  <si>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</si>
  <si>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</si>
  <si>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</si>
  <si>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</si>
  <si>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</si>
  <si>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</si>
  <si>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</si>
  <si>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</si>
  <si>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</si>
  <si>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</si>
  <si>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</si>
  <si>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</si>
  <si>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</si>
  <si>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</si>
  <si>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</si>
  <si>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</si>
  <si>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</si>
  <si>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</si>
  <si>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</si>
  <si>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</si>
  <si>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</si>
  <si>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</si>
  <si>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</si>
  <si>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</si>
  <si>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</si>
  <si>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</si>
  <si>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</si>
  <si>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</si>
  <si>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</si>
  <si>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</si>
  <si>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</si>
  <si>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</si>
  <si>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</si>
  <si>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</si>
  <si>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</si>
  <si>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</si>
  <si>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</si>
  <si>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</si>
  <si>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</si>
  <si>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</si>
  <si>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</si>
  <si>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</si>
  <si>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</si>
  <si>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</si>
  <si>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</si>
  <si>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</si>
  <si>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</si>
  <si>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</si>
  <si>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</si>
  <si>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</si>
  <si>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</si>
  <si>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</si>
  <si>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</si>
  <si>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</si>
  <si>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</si>
  <si>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</si>
  <si>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</si>
  <si>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</si>
  <si>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</si>
  <si>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</si>
  <si>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</si>
  <si>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</si>
  <si>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</si>
  <si>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</si>
  <si>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</si>
  <si>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</si>
  <si>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</si>
  <si>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</si>
  <si>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</si>
  <si>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</si>
  <si>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</si>
  <si>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</si>
  <si>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</si>
  <si>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</si>
  <si>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</si>
  <si>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</si>
  <si>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</si>
  <si>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</si>
  <si>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</si>
  <si>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</si>
  <si>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</si>
  <si>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</si>
  <si>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</si>
  <si>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</si>
  <si>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</si>
  <si>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</si>
  <si>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</si>
  <si>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</si>
  <si>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</si>
  <si>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</si>
  <si>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</si>
  <si>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</si>
  <si>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</si>
  <si>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</si>
  <si>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</si>
  <si>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</si>
  <si>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</si>
  <si>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</si>
  <si>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</si>
  <si>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</si>
  <si>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</si>
  <si>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</si>
  <si>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</si>
  <si>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</si>
  <si>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</si>
  <si>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</si>
  <si>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</si>
  <si>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</si>
  <si>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</si>
  <si>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</si>
  <si>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</si>
  <si>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</si>
  <si>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</si>
  <si>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</si>
  <si>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</si>
  <si>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</si>
  <si>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</si>
  <si>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</si>
  <si>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</si>
  <si>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</si>
  <si>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</si>
  <si>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</si>
  <si>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</si>
  <si>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</si>
  <si>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</si>
  <si>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</si>
  <si>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</si>
  <si>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</si>
  <si>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</si>
  <si>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</si>
  <si>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</si>
  <si>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</si>
  <si>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</si>
  <si>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</si>
  <si>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</si>
  <si>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</si>
  <si>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</si>
  <si>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</si>
  <si>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</si>
  <si>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</si>
  <si>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</si>
  <si>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</si>
  <si>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</si>
  <si>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</si>
  <si>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</si>
  <si>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</si>
  <si>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</si>
  <si>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</si>
  <si>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</si>
  <si>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</si>
  <si>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</si>
  <si>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</si>
  <si>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</si>
  <si>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</si>
  <si>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</si>
  <si>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</si>
  <si>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</si>
  <si>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</si>
  <si>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</si>
  <si>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</si>
  <si>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</si>
  <si>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</si>
  <si>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</si>
  <si>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</si>
  <si>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</si>
  <si>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</si>
  <si>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</si>
  <si>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</si>
  <si>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</si>
  <si>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</si>
  <si>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</si>
  <si>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</si>
  <si>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</si>
  <si>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</si>
  <si>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</si>
  <si>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</si>
  <si>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</si>
  <si>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</si>
  <si>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</si>
  <si>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</si>
  <si>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</si>
  <si>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</si>
  <si>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</si>
  <si>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</si>
  <si>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</si>
  <si>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</si>
  <si>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</si>
  <si>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</si>
  <si>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</si>
  <si>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</si>
  <si>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</si>
  <si>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</si>
  <si>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</si>
  <si>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</si>
  <si>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</si>
  <si>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</si>
  <si>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</si>
  <si>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</si>
  <si>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</si>
  <si>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</si>
  <si>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</si>
  <si>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</si>
  <si>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</si>
  <si>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</si>
  <si>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</si>
  <si>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</si>
  <si>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</si>
  <si>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</si>
  <si>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</si>
  <si>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</si>
  <si>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</si>
  <si>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</si>
  <si>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</si>
  <si>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</si>
  <si>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</si>
  <si>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</si>
  <si>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</si>
  <si>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</si>
  <si>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</si>
  <si>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</si>
  <si>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</si>
  <si>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</si>
  <si>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</si>
  <si>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</si>
  <si>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</si>
  <si>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</si>
  <si>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</si>
  <si>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</si>
  <si>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</si>
  <si>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</si>
  <si>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</si>
  <si>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</si>
  <si>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</si>
  <si>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</si>
  <si>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</si>
  <si>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</si>
  <si>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</si>
  <si>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</si>
  <si>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</si>
  <si>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</si>
  <si>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</si>
  <si>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</si>
  <si>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</si>
  <si>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</si>
  <si>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</si>
  <si>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</si>
  <si>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</si>
  <si>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</si>
  <si>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</si>
  <si>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</si>
  <si>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</si>
  <si>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</si>
  <si>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</si>
  <si>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</si>
  <si>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</si>
  <si>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</si>
  <si>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</si>
  <si>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</si>
  <si>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</si>
  <si>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</si>
  <si>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</si>
  <si>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</si>
  <si>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</si>
  <si>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</si>
  <si>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</si>
  <si>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</si>
  <si>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</si>
  <si>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</si>
  <si>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</si>
  <si>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</si>
  <si>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</si>
  <si>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</si>
  <si>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</si>
  <si>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</si>
  <si>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</si>
  <si>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</si>
  <si>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</si>
  <si>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</si>
  <si>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</si>
  <si>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</si>
  <si>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</si>
  <si>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</si>
  <si>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</si>
  <si>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</si>
  <si>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</si>
  <si>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</si>
  <si>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</si>
  <si>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</si>
  <si>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</si>
  <si>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</si>
  <si>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</si>
  <si>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</si>
  <si>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</si>
  <si>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</si>
  <si>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</si>
  <si>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</si>
  <si>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</si>
  <si>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</si>
  <si>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</si>
  <si>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</si>
  <si>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</si>
  <si>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</si>
  <si>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</si>
  <si>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</si>
  <si>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</si>
  <si>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</si>
  <si>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</si>
  <si>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</si>
  <si>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</si>
  <si>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</si>
  <si>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</si>
  <si>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</si>
  <si>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</si>
  <si>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</si>
  <si>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</si>
  <si>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</si>
  <si>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</si>
  <si>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</si>
  <si>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</si>
  <si>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</si>
  <si>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</si>
  <si>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</si>
  <si>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</si>
  <si>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</si>
  <si>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</si>
  <si>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</si>
  <si>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</si>
  <si>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</si>
  <si>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</si>
  <si>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</si>
  <si>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</si>
  <si>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</si>
  <si>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</si>
  <si>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</si>
  <si>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</si>
  <si>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</si>
  <si>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</si>
  <si>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</si>
  <si>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</si>
  <si>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</si>
  <si>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</si>
  <si>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</si>
  <si>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</si>
  <si>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</si>
  <si>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</si>
  <si>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</si>
  <si>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</si>
  <si>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</si>
  <si>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</si>
  <si>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</si>
  <si>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</si>
  <si>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</si>
  <si>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</si>
  <si>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</si>
  <si>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</si>
  <si>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</si>
  <si>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</si>
  <si>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</si>
  <si>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</si>
  <si>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</si>
  <si>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</si>
  <si>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</si>
  <si>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</si>
  <si>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</si>
  <si>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</si>
  <si>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</si>
  <si>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</si>
  <si>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</si>
  <si>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</si>
  <si>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</si>
  <si>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</si>
  <si>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</si>
  <si>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</si>
  <si>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</si>
  <si>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</si>
  <si>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</si>
  <si>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</si>
  <si>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</si>
  <si>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</si>
  <si>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</si>
  <si>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</si>
  <si>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</si>
  <si>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</si>
  <si>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</si>
  <si>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</si>
  <si>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</si>
  <si>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</si>
  <si>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</si>
  <si>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</si>
  <si>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</si>
  <si>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</si>
  <si>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</si>
  <si>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</si>
  <si>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</si>
  <si>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</si>
  <si>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</si>
  <si>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</si>
  <si>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</si>
  <si>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</si>
  <si>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</si>
  <si>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</si>
  <si>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</si>
  <si>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</si>
  <si>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</si>
  <si>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</si>
  <si>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</si>
  <si>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</si>
  <si>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</si>
  <si>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</si>
  <si>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</si>
  <si>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</si>
  <si>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</si>
  <si>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</si>
  <si>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</si>
  <si>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</si>
  <si>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</si>
  <si>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</si>
  <si>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</si>
  <si>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</si>
  <si>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</si>
  <si>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</si>
  <si>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</si>
  <si>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</si>
  <si>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</si>
  <si>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</si>
  <si>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</si>
  <si>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</si>
  <si>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</si>
  <si>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</si>
  <si>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</si>
  <si>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</si>
  <si>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</si>
  <si>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</si>
  <si>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</si>
  <si>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</si>
  <si>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</si>
  <si>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</si>
  <si>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</si>
  <si>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</si>
  <si>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</si>
  <si>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</si>
  <si>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</si>
  <si>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</si>
  <si>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</si>
  <si>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</si>
  <si>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</si>
  <si>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</si>
  <si>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</si>
  <si>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</si>
  <si>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</si>
  <si>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</si>
  <si>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</si>
  <si>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</si>
  <si>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</si>
  <si>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</si>
  <si>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</si>
  <si>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</si>
  <si>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</si>
  <si>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</si>
  <si>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</si>
  <si>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</si>
  <si>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</si>
  <si>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</si>
  <si>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</si>
  <si>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</si>
  <si>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</si>
  <si>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</si>
  <si>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</si>
  <si>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</si>
  <si>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</si>
  <si>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</si>
  <si>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</si>
  <si>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</si>
  <si>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</si>
  <si>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</si>
  <si>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</si>
  <si>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</si>
  <si>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</si>
  <si>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</si>
  <si>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</si>
  <si>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</si>
  <si>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</si>
  <si>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</si>
  <si>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</si>
  <si>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</si>
  <si>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</si>
  <si>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</si>
  <si>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</si>
  <si>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</si>
  <si>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</si>
  <si>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</si>
  <si>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</si>
  <si>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</si>
  <si>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</si>
  <si>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</si>
  <si>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</si>
  <si>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</si>
  <si>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</si>
  <si>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</si>
  <si>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</si>
  <si>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</si>
  <si>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</si>
  <si>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</si>
  <si>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</si>
  <si>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</si>
  <si>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</si>
  <si>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</si>
  <si>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</si>
  <si>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</si>
  <si>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</si>
  <si>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</si>
  <si>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</si>
  <si>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</si>
  <si>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</si>
  <si>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</si>
  <si>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</si>
  <si>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</si>
  <si>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</si>
  <si>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</si>
  <si>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</si>
  <si>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</si>
  <si>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</si>
  <si>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</si>
  <si>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</si>
  <si>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</si>
  <si>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</si>
  <si>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</si>
  <si>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</si>
  <si>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</si>
  <si>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</si>
  <si>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</si>
  <si>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</si>
  <si>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</si>
  <si>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</si>
  <si>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</si>
  <si>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</si>
  <si>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</si>
  <si>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</si>
  <si>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</si>
  <si>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</si>
  <si>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</si>
  <si>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</si>
  <si>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</si>
  <si>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</si>
  <si>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</si>
  <si>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</si>
  <si>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</si>
  <si>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</si>
  <si>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</si>
  <si>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</si>
  <si>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</si>
  <si>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</si>
  <si>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</si>
  <si>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</si>
  <si>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</si>
  <si>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</si>
  <si>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</si>
  <si>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</si>
  <si>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</si>
  <si>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</si>
  <si>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</si>
  <si>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</si>
  <si>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</si>
  <si>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</si>
  <si>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</si>
  <si>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</si>
  <si>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</si>
  <si>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</si>
  <si>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</si>
  <si>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</si>
  <si>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</si>
  <si>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</si>
  <si>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</si>
  <si>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</si>
  <si>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</si>
  <si>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</si>
  <si>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</si>
  <si>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</si>
  <si>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</si>
  <si>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</si>
  <si>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</si>
  <si>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</si>
  <si>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</si>
  <si>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</si>
  <si>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</si>
  <si>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</si>
  <si>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</si>
  <si>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</si>
  <si>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</si>
  <si>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</si>
  <si>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</si>
  <si>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</si>
  <si>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</si>
  <si>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</si>
  <si>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</si>
  <si>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</si>
  <si>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</si>
  <si>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</si>
  <si>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</si>
  <si>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</si>
  <si>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</si>
  <si>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</si>
  <si>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</si>
  <si>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</si>
  <si>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</si>
  <si>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</si>
  <si>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</si>
  <si>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</si>
  <si>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</si>
  <si>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</si>
  <si>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</si>
  <si>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</si>
  <si>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</si>
  <si>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</si>
  <si>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</si>
  <si>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</si>
  <si>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</si>
  <si>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</si>
  <si>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</si>
  <si>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</si>
  <si>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</si>
  <si>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</si>
  <si>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</si>
  <si>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</si>
  <si>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</si>
  <si>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</si>
  <si>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</si>
  <si>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</si>
  <si>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</si>
  <si>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</si>
  <si>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</si>
  <si>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</si>
  <si>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</si>
  <si>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</si>
  <si>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</si>
  <si>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</si>
  <si>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</si>
  <si>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</si>
  <si>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</si>
  <si>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</si>
  <si>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</si>
  <si>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</si>
  <si>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</si>
  <si>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</si>
  <si>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</si>
  <si>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</si>
  <si>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</si>
  <si>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</si>
  <si>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</si>
  <si>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</si>
  <si>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</si>
  <si>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</si>
  <si>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</si>
  <si>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</si>
  <si>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</si>
  <si>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</si>
  <si>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</si>
  <si>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</si>
  <si>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</si>
  <si>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</si>
  <si>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</si>
  <si>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</si>
  <si>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</si>
  <si>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</si>
  <si>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</si>
  <si>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</si>
  <si>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</si>
  <si>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</si>
  <si>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</si>
  <si>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</si>
  <si>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</si>
  <si>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</si>
  <si>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</si>
  <si>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</si>
  <si>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</si>
  <si>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</si>
  <si>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</si>
  <si>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</si>
  <si>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</si>
  <si>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</si>
  <si>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</si>
  <si>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</si>
  <si>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</si>
  <si>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</si>
  <si>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</si>
  <si>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</si>
  <si>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</si>
  <si>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</si>
  <si>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</si>
  <si>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</si>
  <si>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</si>
  <si>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</si>
  <si>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</si>
  <si>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</si>
  <si>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</si>
  <si>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</si>
  <si>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</si>
  <si>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</si>
  <si>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</si>
  <si>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</si>
  <si>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</si>
  <si>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</si>
  <si>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</si>
  <si>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</si>
  <si>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</si>
  <si>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</si>
  <si>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</si>
  <si>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</si>
  <si>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</si>
  <si>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</si>
  <si>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</si>
  <si>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</si>
  <si>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</si>
  <si>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</si>
  <si>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</si>
  <si>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</si>
  <si>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</si>
  <si>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</si>
  <si>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</si>
  <si>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</si>
  <si>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</si>
  <si>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</si>
  <si>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</si>
  <si>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</si>
  <si>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</si>
  <si>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</si>
  <si>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</si>
  <si>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</si>
  <si>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</si>
  <si>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</si>
  <si>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</si>
  <si>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</si>
  <si>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</si>
  <si>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</si>
  <si>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</si>
  <si>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</si>
  <si>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</si>
  <si>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</si>
  <si>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</si>
  <si>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</si>
  <si>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</si>
  <si>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</si>
  <si>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</si>
  <si>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</si>
  <si>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</si>
  <si>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</si>
  <si>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</si>
  <si>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</si>
  <si>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</si>
  <si>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</si>
  <si>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</si>
  <si>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</si>
  <si>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</si>
  <si>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</si>
  <si>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</si>
  <si>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</si>
  <si>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</si>
  <si>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</si>
  <si>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</si>
  <si>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</si>
  <si>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</si>
  <si>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</si>
  <si>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</si>
  <si>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</si>
  <si>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</si>
  <si>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</si>
  <si>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</si>
  <si>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</si>
  <si>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</si>
  <si>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</si>
  <si>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</si>
  <si>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</si>
  <si>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</si>
  <si>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</si>
  <si>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</si>
  <si>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</si>
  <si>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</si>
  <si>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</si>
  <si>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</si>
  <si>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</si>
  <si>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</si>
  <si>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</si>
  <si>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</si>
  <si>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</si>
  <si>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</si>
  <si>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</si>
  <si>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</si>
  <si>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</si>
  <si>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</si>
  <si>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</si>
  <si>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</si>
  <si>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</si>
  <si>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</si>
  <si>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</si>
  <si>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</si>
  <si>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</si>
  <si>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</si>
  <si>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</si>
  <si>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</si>
  <si>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</si>
  <si>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</si>
  <si>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</si>
  <si>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</si>
  <si>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</si>
  <si>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</si>
  <si>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</si>
  <si>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</si>
  <si>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</si>
  <si>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</si>
  <si>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</si>
  <si>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</si>
  <si>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</si>
  <si>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</si>
  <si>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</si>
  <si>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</si>
  <si>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</si>
  <si>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</si>
  <si>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</si>
  <si>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</si>
  <si>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</si>
  <si>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</si>
  <si>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</si>
  <si>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</si>
  <si>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</si>
  <si>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</si>
  <si>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</si>
  <si>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</si>
  <si>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</si>
  <si>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</si>
  <si>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</si>
  <si>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</si>
  <si>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</si>
  <si>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</si>
  <si>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</si>
  <si>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</si>
  <si>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</si>
  <si>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</si>
  <si>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</si>
  <si>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</si>
  <si>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</si>
  <si>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</si>
  <si>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</si>
  <si>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</si>
  <si>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</si>
  <si>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</si>
  <si>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</si>
  <si>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</si>
  <si>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</si>
  <si>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</si>
  <si>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</si>
  <si>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</si>
  <si>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</si>
  <si>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</si>
  <si>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</si>
  <si>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</si>
  <si>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</si>
  <si>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</si>
  <si>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</si>
  <si>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</si>
  <si>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</si>
  <si>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</si>
  <si>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</si>
  <si>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</si>
  <si>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</si>
  <si>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</si>
  <si>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</si>
  <si>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</si>
  <si>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</si>
  <si>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</si>
  <si>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</si>
  <si>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</si>
  <si>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</si>
  <si>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</si>
  <si>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</si>
  <si>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</si>
  <si>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</si>
  <si>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</si>
  <si>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</si>
  <si>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</si>
  <si>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</si>
  <si>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</si>
  <si>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</si>
  <si>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</si>
  <si>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</si>
  <si>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</si>
  <si>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</si>
  <si>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</si>
  <si>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</si>
  <si>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</si>
  <si>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</si>
  <si>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</si>
  <si>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</si>
  <si>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</si>
  <si>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</si>
  <si>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</si>
  <si>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</si>
  <si>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</si>
  <si>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</si>
  <si>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</si>
  <si>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</si>
  <si>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</si>
  <si>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</si>
  <si>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</si>
  <si>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</si>
  <si>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</si>
  <si>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</si>
  <si>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</si>
  <si>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</si>
  <si>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</si>
  <si>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</si>
  <si>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</si>
  <si>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</si>
  <si>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</si>
  <si>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</si>
  <si>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</si>
  <si>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</si>
  <si>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</si>
  <si>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</si>
  <si>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</si>
  <si>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</si>
  <si>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</si>
  <si>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</si>
  <si>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</si>
  <si>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</si>
  <si>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</si>
  <si>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</si>
  <si>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</si>
  <si>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</si>
  <si>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</si>
  <si>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</si>
  <si>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</si>
  <si>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</si>
  <si>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</si>
  <si>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</si>
  <si>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</si>
  <si>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</si>
  <si>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</si>
  <si>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</si>
  <si>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</si>
  <si>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</si>
  <si>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</si>
  <si>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</si>
  <si>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</si>
  <si>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</si>
  <si>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</si>
  <si>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</si>
  <si>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</si>
  <si>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</si>
  <si>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</si>
  <si>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</si>
  <si>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</si>
  <si>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</si>
  <si>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</si>
  <si>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</si>
  <si>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</si>
  <si>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</si>
  <si>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</si>
  <si>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</si>
  <si>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</si>
  <si>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</si>
  <si>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</si>
  <si>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</si>
  <si>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</si>
  <si>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</si>
  <si>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</si>
  <si>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</si>
  <si>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</si>
  <si>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</si>
  <si>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</si>
  <si>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</si>
  <si>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</si>
  <si>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</si>
  <si>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</si>
  <si>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</si>
  <si>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</si>
  <si>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</si>
  <si>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</si>
  <si>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</si>
  <si>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</si>
  <si>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</si>
  <si>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</si>
  <si>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</si>
  <si>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</si>
  <si>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</si>
  <si>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</si>
  <si>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</si>
  <si>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</si>
  <si>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</si>
  <si>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</si>
  <si>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</si>
  <si>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</si>
  <si>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</si>
  <si>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</si>
  <si>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</si>
  <si>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</si>
  <si>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</si>
  <si>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</si>
  <si>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</si>
  <si>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</si>
  <si>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</si>
  <si>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</si>
  <si>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</si>
  <si>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</si>
  <si>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</si>
  <si>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</si>
  <si>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</si>
  <si>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</si>
  <si>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</si>
  <si>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</si>
  <si>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</si>
  <si>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</si>
  <si>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</si>
  <si>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</si>
  <si>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</si>
  <si>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</si>
  <si>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</si>
  <si>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</si>
  <si>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</si>
  <si>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</si>
  <si>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</si>
  <si>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</si>
  <si>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</si>
  <si>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</si>
  <si>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</si>
  <si>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</si>
  <si>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</si>
  <si>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</si>
  <si>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</si>
  <si>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</si>
  <si>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</si>
  <si>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</si>
  <si>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</si>
  <si>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</si>
  <si>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</si>
  <si>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</si>
  <si>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</si>
  <si>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</si>
  <si>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</si>
  <si>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</si>
  <si>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</si>
  <si>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</si>
  <si>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</si>
  <si>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</si>
  <si>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</si>
  <si>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</si>
  <si>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</si>
  <si>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</si>
  <si>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</si>
  <si>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</si>
  <si>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</si>
  <si>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</si>
  <si>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</si>
  <si>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</si>
  <si>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</si>
  <si>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</si>
  <si>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</si>
  <si>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</si>
  <si>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</si>
  <si>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</si>
  <si>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</si>
  <si>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</si>
  <si>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</si>
  <si>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</si>
  <si>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</si>
  <si>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</si>
  <si>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</si>
  <si>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</si>
  <si>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</si>
  <si>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</si>
  <si>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</si>
  <si>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</si>
  <si>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</si>
  <si>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</si>
  <si>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</si>
  <si>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</si>
  <si>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</si>
  <si>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</si>
  <si>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</si>
  <si>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</si>
  <si>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</si>
  <si>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</si>
  <si>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</si>
  <si>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</si>
  <si>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</si>
  <si>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</si>
  <si>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</si>
  <si>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</si>
  <si>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</si>
  <si>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</si>
  <si>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</si>
  <si>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</si>
  <si>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</si>
  <si>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</si>
  <si>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</si>
  <si>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</si>
  <si>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</si>
  <si>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</si>
  <si>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</si>
  <si>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</si>
  <si>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</si>
  <si>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</si>
  <si>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</si>
  <si>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</si>
  <si>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</si>
  <si>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</si>
  <si>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</si>
  <si>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</si>
  <si>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</si>
  <si>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</si>
  <si>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</si>
  <si>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</si>
  <si>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</si>
  <si>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</si>
  <si>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</si>
  <si>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</si>
  <si>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</si>
  <si>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</si>
  <si>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</si>
  <si>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</si>
  <si>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</si>
  <si>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</si>
  <si>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</si>
  <si>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</si>
  <si>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</si>
  <si>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</si>
  <si>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</si>
  <si>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</si>
  <si>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</si>
  <si>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</si>
  <si>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</si>
  <si>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</si>
  <si>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</si>
  <si>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</si>
  <si>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</si>
  <si>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</si>
  <si>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</si>
  <si>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</si>
  <si>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</si>
  <si>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</si>
  <si>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</si>
  <si>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</si>
  <si>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</si>
  <si>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</si>
  <si>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</si>
  <si>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</si>
  <si>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</si>
  <si>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</si>
  <si>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</si>
  <si>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</si>
  <si>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</si>
  <si>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</si>
  <si>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</si>
  <si>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</si>
  <si>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</si>
  <si>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</si>
  <si>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</si>
  <si>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</si>
  <si>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</si>
  <si>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</si>
  <si>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</si>
  <si>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</si>
  <si>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</si>
  <si>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</si>
  <si>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</si>
  <si>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</si>
  <si>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</si>
  <si>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</si>
  <si>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</si>
  <si>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</si>
  <si>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</si>
  <si>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</si>
  <si>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</si>
  <si>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</si>
  <si>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</si>
  <si>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</si>
  <si>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</si>
  <si>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</si>
  <si>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</si>
  <si>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</si>
  <si>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</si>
  <si>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</si>
  <si>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</si>
  <si>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</si>
  <si>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</si>
  <si>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</si>
  <si>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</si>
  <si>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</si>
  <si>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</si>
  <si>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</si>
  <si>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</si>
  <si>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</si>
  <si>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</si>
  <si>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</si>
  <si>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</si>
  <si>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</si>
  <si>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</si>
  <si>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</si>
  <si>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</si>
  <si>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</si>
  <si>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</si>
  <si>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</si>
  <si>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</si>
  <si>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</si>
  <si>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</si>
  <si>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</si>
  <si>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</si>
  <si>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</si>
  <si>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</si>
  <si>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</si>
  <si>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</si>
  <si>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</si>
  <si>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</si>
  <si>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</si>
  <si>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</si>
  <si>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</si>
  <si>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</si>
  <si>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</si>
  <si>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</si>
  <si>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</si>
  <si>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</si>
  <si>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</si>
  <si>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</si>
  <si>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</si>
  <si>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</si>
  <si>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</si>
  <si>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</si>
  <si>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</si>
  <si>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</si>
  <si>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</si>
  <si>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</si>
  <si>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</si>
  <si>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</si>
  <si>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</si>
  <si>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</si>
  <si>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</si>
  <si>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</si>
  <si>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</si>
  <si>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</si>
  <si>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</si>
  <si>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</si>
  <si>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</si>
  <si>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</si>
  <si>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</si>
  <si>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</si>
  <si>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</si>
  <si>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</si>
  <si>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</si>
  <si>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</si>
  <si>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</si>
  <si>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</si>
  <si>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</si>
  <si>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</si>
  <si>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</si>
  <si>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</si>
  <si>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</si>
  <si>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</si>
  <si>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</si>
  <si>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</si>
  <si>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</si>
  <si>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</si>
  <si>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</si>
  <si>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</si>
  <si>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</si>
  <si>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</si>
  <si>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</si>
  <si>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</si>
  <si>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</si>
  <si>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</si>
  <si>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</si>
  <si>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</si>
  <si>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</si>
  <si>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</si>
  <si>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</si>
  <si>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</si>
  <si>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</si>
  <si>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</si>
  <si>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</si>
  <si>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</si>
  <si>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</si>
  <si>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</si>
  <si>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</si>
  <si>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</si>
  <si>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</si>
  <si>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</si>
  <si>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</si>
  <si>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</si>
  <si>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</si>
  <si>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</si>
  <si>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</si>
  <si>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</si>
  <si>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</si>
  <si>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</si>
  <si>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</si>
  <si>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</si>
  <si>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</si>
  <si>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</si>
  <si>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</si>
  <si>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</si>
  <si>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</si>
  <si>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</si>
  <si>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</si>
  <si>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</si>
  <si>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</si>
  <si>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</si>
  <si>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</si>
  <si>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</si>
  <si>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</si>
  <si>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</si>
  <si>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</si>
  <si>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</si>
  <si>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</si>
  <si>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</si>
  <si>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</si>
  <si>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</si>
  <si>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</si>
  <si>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</si>
  <si>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</si>
  <si>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</si>
  <si>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</si>
  <si>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</si>
  <si>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</si>
  <si>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</si>
  <si>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</si>
  <si>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</si>
  <si>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</si>
  <si>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</si>
  <si>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</si>
  <si>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</si>
  <si>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</si>
  <si>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</si>
  <si>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</si>
  <si>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</si>
  <si>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</si>
  <si>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</si>
  <si>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</si>
  <si>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</si>
  <si>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</si>
  <si>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</si>
  <si>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</si>
  <si>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</si>
  <si>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</si>
  <si>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</si>
  <si>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</si>
  <si>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</si>
  <si>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</si>
  <si>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</si>
  <si>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</si>
  <si>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</si>
  <si>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</si>
  <si>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</si>
  <si>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</si>
  <si>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</si>
  <si>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</si>
  <si>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</si>
  <si>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</si>
  <si>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</si>
  <si>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</si>
  <si>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</si>
  <si>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</si>
  <si>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</si>
  <si>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</si>
  <si>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</si>
  <si>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</si>
  <si>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</si>
  <si>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</si>
  <si>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</si>
  <si>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</si>
  <si>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</si>
  <si>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</si>
  <si>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</si>
  <si>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</si>
  <si>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</si>
  <si>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</si>
  <si>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</si>
  <si>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</si>
  <si>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</si>
  <si>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</si>
  <si>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</si>
  <si>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</si>
  <si>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</si>
  <si>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</si>
  <si>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</si>
  <si>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</si>
  <si>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</si>
  <si>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</si>
  <si>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</si>
  <si>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</si>
  <si>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</si>
  <si>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</si>
  <si>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</si>
  <si>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</si>
  <si>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</si>
  <si>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</si>
  <si>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</si>
  <si>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</si>
  <si>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</si>
  <si>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</si>
  <si>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</si>
  <si>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</si>
  <si>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</si>
  <si>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</si>
  <si>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</si>
  <si>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</si>
  <si>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</si>
  <si>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</si>
  <si>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</si>
  <si>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</si>
  <si>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</si>
  <si>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</si>
  <si>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</si>
  <si>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</si>
  <si>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</si>
  <si>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</si>
  <si>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</si>
  <si>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</si>
  <si>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</si>
  <si>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</si>
  <si>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</si>
  <si>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</si>
  <si>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</si>
  <si>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</si>
  <si>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</si>
  <si>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</si>
  <si>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</si>
  <si>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</si>
  <si>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</si>
  <si>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</si>
  <si>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</si>
  <si>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</si>
  <si>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</si>
  <si>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</si>
  <si>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</si>
  <si>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</si>
  <si>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</si>
  <si>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</si>
  <si>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</si>
  <si>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</si>
  <si>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</si>
  <si>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</si>
  <si>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</si>
  <si>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</si>
  <si>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</si>
  <si>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</si>
  <si>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</si>
  <si>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</si>
  <si>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</si>
  <si>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</si>
  <si>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</si>
  <si>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</si>
  <si>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</si>
  <si>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</si>
  <si>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</si>
  <si>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</si>
  <si>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</si>
  <si>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</si>
  <si>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</si>
  <si>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</si>
  <si>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</si>
  <si>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</si>
  <si>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</si>
  <si>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</si>
  <si>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</si>
  <si>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</si>
  <si>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</si>
  <si>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</si>
  <si>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</si>
  <si>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</si>
  <si>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</si>
  <si>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</si>
  <si>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</si>
  <si>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</si>
  <si>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</si>
  <si>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</si>
  <si>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</si>
  <si>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</si>
  <si>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</si>
  <si>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</si>
  <si>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</si>
  <si>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</si>
  <si>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</si>
  <si>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</si>
  <si>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</si>
  <si>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</si>
  <si>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</si>
  <si>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</si>
  <si>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</si>
  <si>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</si>
  <si>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</si>
  <si>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</si>
  <si>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</si>
  <si>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</si>
  <si>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</si>
  <si>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</si>
  <si>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</si>
  <si>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</si>
  <si>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</si>
  <si>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</si>
  <si>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</si>
  <si>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</si>
  <si>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</si>
  <si>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</si>
  <si>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</si>
  <si>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</si>
  <si>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</si>
  <si>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</si>
  <si>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</si>
  <si>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</si>
  <si>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</si>
  <si>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</si>
  <si>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</si>
  <si>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</si>
  <si>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</si>
  <si>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</si>
  <si>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</si>
  <si>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</si>
  <si>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</si>
  <si>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</si>
  <si>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</si>
  <si>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</si>
  <si>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</si>
  <si>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</si>
  <si>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</si>
  <si>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</si>
  <si>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</si>
  <si>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</si>
  <si>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</si>
  <si>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</si>
  <si>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</si>
  <si>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</si>
  <si>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</si>
  <si>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</si>
  <si>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</si>
  <si>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</si>
  <si>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</si>
  <si>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</si>
  <si>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</si>
  <si>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</si>
  <si>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</si>
  <si>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</si>
  <si>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</si>
  <si>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</si>
  <si>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</si>
  <si>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</si>
  <si>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</si>
  <si>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</si>
  <si>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</si>
  <si>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</si>
  <si>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</si>
  <si>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</si>
  <si>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</si>
  <si>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</si>
  <si>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</si>
  <si>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</si>
  <si>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</si>
  <si>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</si>
  <si>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</si>
  <si>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</si>
  <si>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</si>
  <si>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</si>
  <si>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</si>
  <si>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</si>
  <si>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</si>
  <si>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</si>
  <si>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</si>
  <si>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</si>
  <si>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</si>
  <si>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</si>
  <si>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</si>
  <si>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</si>
  <si>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</si>
  <si>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</si>
  <si>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</si>
  <si>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</si>
  <si>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</si>
  <si>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</si>
  <si>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</si>
  <si>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</si>
  <si>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</si>
  <si>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</si>
  <si>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</si>
  <si>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</si>
  <si>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</si>
  <si>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</si>
  <si>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</si>
  <si>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</si>
  <si>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</si>
  <si>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</si>
  <si>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</si>
  <si>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</si>
  <si>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</si>
  <si>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</si>
  <si>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</si>
  <si>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</si>
  <si>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</si>
  <si>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</si>
  <si>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</si>
  <si>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</si>
  <si>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</si>
  <si>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</si>
  <si>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</si>
  <si>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</si>
  <si>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</si>
  <si>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</si>
  <si>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</si>
  <si>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</si>
  <si>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</si>
  <si>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</si>
  <si>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</si>
  <si>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</si>
  <si>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</si>
  <si>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</si>
  <si>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</si>
  <si>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</si>
  <si>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</si>
  <si>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</si>
  <si>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</si>
  <si>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</si>
  <si>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</si>
  <si>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</si>
  <si>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</si>
  <si>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</si>
  <si>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</si>
  <si>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</si>
  <si>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</si>
  <si>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</si>
  <si>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</si>
  <si>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</si>
  <si>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</si>
  <si>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</si>
  <si>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</si>
  <si>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</si>
  <si>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</si>
  <si>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</si>
  <si>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</si>
  <si>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</si>
  <si>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</si>
  <si>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</si>
  <si>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</si>
  <si>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</si>
  <si>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</si>
  <si>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</si>
  <si>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</si>
  <si>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</si>
  <si>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</si>
  <si>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</si>
  <si>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</si>
  <si>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</si>
  <si>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</si>
  <si>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</si>
  <si>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</si>
  <si>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</si>
  <si>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</si>
  <si>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</si>
  <si>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</si>
  <si>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</si>
  <si>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</si>
  <si>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</si>
  <si>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</si>
  <si>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</si>
  <si>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</si>
  <si>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</si>
  <si>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</si>
  <si>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</si>
  <si>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</si>
  <si>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</si>
  <si>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</si>
  <si>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</si>
  <si>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</si>
  <si>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</si>
  <si>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</si>
  <si>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</si>
  <si>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</si>
  <si>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</si>
  <si>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</si>
  <si>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</si>
  <si>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</si>
  <si>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</si>
  <si>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</si>
  <si>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</si>
  <si>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</si>
  <si>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</si>
  <si>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</si>
  <si>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</si>
  <si>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</si>
  <si>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</si>
  <si>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</si>
  <si>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</si>
  <si>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</si>
  <si>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</si>
  <si>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</si>
  <si>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</si>
  <si>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</si>
  <si>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</si>
  <si>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</si>
  <si>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</si>
  <si>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</si>
  <si>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</si>
  <si>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</si>
  <si>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</si>
  <si>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</si>
  <si>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</si>
  <si>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</si>
  <si>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</si>
  <si>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</si>
  <si>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</si>
  <si>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</si>
  <si>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</si>
  <si>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</si>
  <si>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</si>
  <si>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</si>
  <si>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</si>
  <si>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</si>
  <si>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</si>
  <si>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</si>
  <si>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</si>
  <si>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</si>
  <si>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</si>
  <si>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</si>
  <si>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</si>
  <si>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</si>
  <si>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</si>
  <si>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</si>
  <si>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</si>
  <si>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</si>
  <si>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</si>
  <si>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</si>
  <si>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</si>
  <si>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</si>
  <si>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</si>
  <si>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</si>
  <si>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</si>
  <si>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</si>
  <si>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</si>
  <si>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</si>
  <si>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</si>
  <si>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</si>
  <si>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</si>
  <si>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</si>
  <si>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</si>
  <si>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</si>
  <si>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</si>
  <si>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</si>
  <si>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</si>
  <si>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</si>
  <si>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</si>
  <si>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</si>
  <si>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</si>
  <si>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</si>
  <si>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</si>
  <si>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</si>
  <si>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</si>
  <si>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</si>
  <si>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</si>
  <si>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</si>
  <si>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</si>
  <si>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</si>
  <si>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</si>
  <si>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</si>
  <si>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</si>
  <si>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</si>
  <si>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</si>
  <si>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</si>
  <si>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</si>
  <si>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</si>
  <si>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</si>
  <si>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</si>
  <si>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</si>
  <si>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</si>
  <si>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</si>
  <si>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</si>
  <si>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</si>
  <si>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</si>
  <si>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</si>
  <si>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</si>
  <si>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</si>
  <si>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</si>
  <si>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</si>
  <si>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</si>
  <si>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</si>
  <si>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</si>
  <si>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</si>
  <si>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</si>
  <si>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</si>
  <si>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</si>
  <si>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</si>
  <si>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</si>
  <si>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</si>
  <si>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</si>
  <si>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</si>
  <si>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</si>
  <si>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</si>
  <si>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</si>
  <si>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</si>
  <si>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</si>
  <si>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</si>
  <si>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</si>
  <si>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</si>
  <si>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</si>
  <si>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</si>
  <si>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</si>
  <si>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</si>
  <si>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</si>
  <si>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</si>
  <si>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</si>
  <si>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</si>
  <si>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</si>
  <si>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</si>
  <si>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</si>
  <si>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</si>
  <si>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</si>
  <si>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</si>
  <si>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</si>
  <si>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</si>
  <si>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</si>
  <si>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</si>
  <si>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</si>
  <si>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</si>
  <si>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</si>
  <si>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</si>
  <si>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</si>
  <si>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</si>
  <si>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</si>
  <si>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</si>
  <si>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</si>
  <si>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</si>
  <si>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</si>
  <si>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</si>
  <si>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</si>
  <si>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</si>
  <si>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</si>
  <si>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</si>
  <si>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</si>
  <si>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</si>
  <si>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</si>
  <si>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</si>
  <si>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</si>
  <si>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</si>
  <si>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</si>
  <si>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</si>
  <si>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</si>
  <si>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</si>
  <si>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</si>
  <si>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</si>
  <si>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</si>
  <si>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</si>
  <si>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</si>
  <si>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</si>
  <si>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</si>
  <si>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</si>
  <si>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</si>
  <si>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</si>
  <si>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</si>
  <si>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</si>
  <si>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</si>
  <si>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</si>
  <si>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</si>
  <si>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</si>
  <si>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</si>
  <si>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</si>
  <si>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</si>
  <si>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</si>
  <si>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</si>
  <si>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</si>
  <si>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</si>
  <si>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</si>
  <si>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</si>
  <si>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</si>
  <si>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</si>
  <si>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</si>
  <si>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</si>
  <si>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</si>
  <si>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</si>
  <si>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</si>
  <si>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</si>
  <si>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</si>
  <si>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</si>
  <si>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</si>
  <si>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</si>
  <si>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</si>
  <si>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</si>
  <si>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</si>
  <si>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</si>
  <si>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</si>
  <si>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</si>
  <si>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</si>
  <si>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</si>
  <si>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</si>
  <si>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</si>
  <si>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</si>
  <si>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</si>
  <si>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</si>
  <si>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</si>
  <si>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</si>
  <si>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</si>
  <si>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</si>
  <si>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</si>
  <si>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</si>
  <si>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</si>
  <si>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</si>
  <si>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</si>
  <si>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</si>
  <si>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</si>
  <si>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</si>
  <si>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</si>
  <si>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</si>
  <si>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</si>
  <si>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</si>
  <si>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</si>
  <si>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</si>
  <si>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</si>
  <si>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</si>
  <si>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</si>
  <si>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</si>
  <si>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</si>
  <si>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</si>
  <si>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</si>
  <si>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</si>
  <si>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</si>
  <si>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</si>
  <si>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</si>
  <si>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</si>
  <si>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</si>
  <si>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</si>
  <si>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</si>
  <si>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</si>
  <si>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</si>
  <si>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</si>
  <si>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</si>
  <si>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</si>
  <si>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</si>
  <si>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</si>
  <si>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</si>
  <si>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</si>
  <si>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</si>
  <si>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</si>
  <si>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</si>
  <si>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</si>
  <si>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</si>
  <si>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</si>
  <si>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</si>
  <si>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</si>
  <si>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</si>
  <si>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</si>
  <si>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</si>
  <si>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</si>
  <si>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</si>
  <si>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</si>
  <si>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</si>
  <si>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</si>
  <si>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</si>
  <si>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</si>
  <si>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</si>
  <si>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</si>
  <si>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</si>
  <si>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</si>
  <si>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</si>
  <si>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</si>
  <si>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</si>
  <si>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</si>
  <si>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</si>
  <si>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</si>
  <si>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</si>
  <si>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</si>
  <si>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</si>
  <si>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</si>
  <si>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</si>
  <si>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</si>
  <si>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</si>
  <si>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</si>
  <si>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</si>
  <si>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</si>
  <si>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</si>
  <si>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</si>
  <si>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</si>
  <si>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</si>
  <si>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</si>
  <si>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</si>
  <si>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</si>
  <si>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</si>
  <si>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</si>
  <si>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</si>
  <si>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</si>
  <si>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</si>
  <si>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</si>
  <si>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</si>
  <si>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</si>
  <si>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</si>
  <si>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</si>
  <si>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</si>
  <si>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</si>
  <si>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</si>
  <si>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</si>
  <si>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</si>
  <si>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</si>
  <si>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</si>
  <si>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</si>
  <si>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</si>
  <si>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</si>
  <si>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</si>
  <si>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</si>
  <si>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</si>
  <si>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</si>
  <si>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</si>
  <si>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</si>
  <si>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</si>
  <si>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</si>
  <si>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</si>
  <si>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</si>
  <si>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</si>
  <si>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</si>
  <si>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</si>
  <si>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</si>
  <si>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</si>
  <si>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</si>
  <si>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</si>
  <si>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</si>
  <si>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</si>
  <si>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</si>
  <si>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</si>
  <si>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</si>
  <si>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</si>
  <si>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</si>
  <si>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</si>
  <si>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</si>
  <si>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</si>
  <si>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</si>
  <si>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</si>
  <si>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</si>
  <si>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</si>
  <si>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</si>
  <si>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</si>
  <si>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</si>
  <si>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</si>
  <si>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</si>
  <si>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</si>
  <si>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</si>
  <si>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</si>
  <si>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</si>
  <si>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</si>
  <si>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</si>
  <si>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</si>
  <si>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</si>
  <si>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</si>
  <si>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</si>
  <si>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</si>
  <si>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</si>
  <si>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</si>
  <si>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</si>
  <si>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</si>
  <si>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</si>
  <si>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</si>
  <si>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</si>
  <si>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</si>
  <si>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</si>
  <si>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</si>
  <si>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</si>
  <si>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</si>
  <si>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</si>
  <si>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</si>
  <si>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</si>
  <si>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</si>
  <si>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</si>
  <si>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</si>
  <si>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</si>
  <si>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</si>
  <si>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</si>
  <si>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</si>
  <si>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</si>
  <si>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</si>
  <si>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</si>
  <si>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</si>
  <si>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</si>
  <si>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</si>
  <si>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</si>
  <si>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</si>
  <si>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</si>
  <si>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</si>
  <si>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</si>
  <si>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</si>
  <si>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</si>
  <si>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</si>
  <si>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</si>
  <si>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</si>
  <si>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</si>
  <si>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</si>
  <si>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</si>
  <si>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</si>
  <si>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</si>
  <si>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</si>
  <si>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</si>
  <si>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</si>
  <si>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</si>
  <si>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</si>
  <si>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</si>
  <si>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</si>
  <si>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</si>
  <si>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</si>
  <si>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</si>
  <si>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</si>
  <si>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</si>
  <si>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</si>
  <si>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</si>
  <si>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</si>
  <si>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</si>
  <si>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</si>
  <si>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</si>
  <si>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</si>
  <si>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</si>
  <si>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</si>
  <si>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</si>
  <si>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</si>
  <si>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</si>
  <si>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</si>
  <si>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</si>
  <si>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</si>
  <si>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</si>
  <si>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</si>
  <si>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</si>
  <si>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</si>
  <si>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</si>
  <si>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</si>
  <si>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</si>
  <si>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</si>
  <si>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</si>
  <si>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</si>
  <si>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</si>
  <si>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</si>
  <si>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</si>
  <si>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</si>
  <si>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</si>
  <si>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</si>
  <si>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</si>
  <si>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</si>
  <si>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</si>
  <si>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</si>
  <si>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</si>
  <si>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</si>
  <si>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</si>
  <si>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</si>
  <si>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</si>
  <si>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</si>
  <si>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</si>
  <si>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</si>
  <si>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</si>
  <si>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</si>
  <si>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</si>
  <si>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</si>
  <si>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</si>
  <si>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</si>
  <si>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</si>
  <si>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</si>
  <si>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</si>
  <si>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</si>
  <si>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</si>
  <si>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</si>
  <si>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</si>
  <si>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</si>
  <si>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</si>
  <si>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</si>
  <si>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</si>
  <si>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</si>
  <si>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</si>
  <si>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</si>
  <si>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</si>
  <si>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</si>
  <si>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</si>
  <si>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</si>
  <si>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</si>
  <si>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</si>
  <si>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</si>
  <si>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</si>
  <si>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</si>
  <si>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</si>
  <si>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</si>
  <si>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</si>
  <si>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</si>
  <si>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</si>
  <si>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</si>
  <si>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</si>
  <si>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</si>
  <si>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</si>
  <si>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</si>
  <si>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</si>
  <si>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</si>
  <si>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</si>
  <si>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</si>
  <si>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</si>
  <si>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</si>
  <si>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</si>
  <si>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</si>
  <si>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</si>
  <si>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</si>
  <si>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</si>
  <si>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</si>
  <si>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</si>
  <si>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</si>
  <si>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</si>
  <si>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</si>
  <si>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</si>
  <si>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</si>
  <si>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</si>
  <si>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</si>
  <si>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</si>
  <si>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</si>
  <si>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</si>
  <si>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</si>
  <si>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</si>
  <si>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</si>
  <si>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</si>
  <si>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</si>
  <si>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</si>
  <si>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</si>
  <si>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</si>
  <si>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</si>
  <si>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</si>
  <si>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</si>
  <si>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</si>
  <si>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</si>
  <si>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</si>
  <si>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</si>
  <si>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</si>
  <si>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</si>
  <si>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</si>
  <si>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</si>
  <si>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</si>
  <si>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</si>
  <si>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</si>
  <si>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</si>
  <si>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</si>
  <si>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</si>
  <si>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</si>
  <si>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</si>
  <si>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</si>
  <si>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</si>
  <si>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</si>
  <si>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</si>
  <si>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</si>
  <si>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</si>
  <si>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</si>
  <si>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</si>
  <si>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</si>
  <si>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</si>
  <si>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</si>
  <si>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</si>
  <si>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</si>
  <si>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</si>
  <si>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</si>
  <si>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</si>
  <si>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</si>
  <si>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</si>
  <si>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</si>
  <si>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</si>
  <si>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</si>
  <si>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</si>
  <si>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</si>
  <si>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</si>
  <si>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</si>
  <si>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</si>
  <si>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</si>
  <si>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</si>
  <si>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</si>
  <si>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</si>
  <si>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</si>
  <si>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</si>
  <si>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</si>
  <si>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</si>
  <si>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</si>
  <si>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</si>
  <si>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</si>
  <si>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</si>
  <si>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</si>
  <si>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</si>
  <si>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</si>
  <si>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</si>
  <si>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</si>
  <si>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</si>
  <si>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</si>
  <si>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</si>
  <si>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</si>
  <si>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</si>
  <si>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</si>
  <si>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</si>
  <si>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</si>
  <si>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</si>
  <si>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</si>
  <si>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</si>
  <si>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</si>
  <si>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</si>
  <si>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</si>
  <si>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</si>
  <si>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</si>
  <si>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</si>
  <si>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</si>
  <si>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</si>
  <si>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</si>
  <si>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</si>
  <si>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</si>
  <si>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</si>
  <si>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</si>
  <si>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</si>
  <si>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</si>
  <si>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</si>
  <si>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</si>
  <si>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</si>
  <si>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</si>
  <si>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</si>
  <si>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</si>
  <si>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</si>
  <si>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</si>
  <si>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</si>
  <si>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</si>
  <si>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</si>
  <si>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</si>
  <si>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</si>
  <si>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</si>
  <si>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</si>
  <si>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</si>
  <si>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</si>
  <si>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</si>
  <si>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</si>
  <si>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</si>
  <si>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</si>
  <si>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</si>
  <si>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</si>
  <si>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</si>
  <si>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</si>
  <si>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</si>
  <si>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</si>
  <si>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</si>
  <si>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</si>
  <si>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</si>
  <si>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</si>
  <si>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</si>
  <si>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</si>
  <si>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</si>
  <si>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</si>
  <si>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</si>
  <si>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</si>
  <si>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</si>
  <si>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</si>
  <si>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</si>
  <si>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</si>
  <si>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</si>
  <si>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</si>
  <si>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</si>
  <si>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</si>
  <si>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</si>
  <si>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</si>
  <si>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</si>
  <si>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</si>
  <si>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</si>
  <si>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</si>
  <si>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</si>
  <si>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</si>
  <si>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</si>
  <si>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</si>
  <si>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</si>
  <si>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</si>
  <si>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</si>
  <si>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</si>
  <si>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</si>
  <si>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</si>
  <si>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</si>
  <si>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</si>
  <si>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</si>
  <si>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</si>
  <si>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</si>
  <si>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</si>
  <si>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</si>
  <si>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</si>
  <si>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</si>
  <si>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</si>
  <si>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</si>
  <si>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</si>
  <si>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</si>
  <si>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</si>
  <si>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</si>
  <si>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</si>
  <si>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</si>
  <si>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</si>
  <si>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</si>
  <si>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</si>
  <si>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</si>
  <si>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</si>
  <si>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</si>
  <si>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</si>
  <si>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</si>
  <si>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</si>
  <si>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</si>
  <si>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</si>
  <si>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</si>
  <si>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</si>
  <si>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</si>
  <si>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</si>
  <si>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</si>
  <si>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</si>
  <si>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</si>
  <si>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</si>
  <si>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</si>
  <si>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</si>
  <si>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</si>
  <si>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</si>
  <si>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</si>
  <si>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</si>
  <si>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</si>
  <si>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</si>
  <si>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</si>
  <si>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</si>
  <si>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</si>
  <si>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</si>
  <si>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</si>
  <si>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</si>
  <si>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</si>
  <si>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</si>
  <si>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</si>
  <si>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</si>
  <si>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</si>
  <si>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</si>
  <si>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</si>
  <si>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</si>
  <si>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</si>
  <si>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</si>
  <si>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</si>
  <si>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</si>
  <si>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</si>
  <si>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</si>
  <si>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</si>
  <si>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</si>
  <si>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</si>
  <si>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</si>
  <si>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</si>
  <si>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</si>
  <si>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</si>
  <si>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</si>
  <si>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</si>
  <si>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</si>
  <si>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</si>
  <si>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</si>
  <si>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</si>
  <si>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</si>
  <si>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</si>
  <si>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</si>
  <si>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</si>
  <si>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</si>
  <si>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</si>
  <si>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</si>
  <si>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</si>
  <si>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</si>
  <si>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</si>
  <si>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</si>
  <si>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</si>
  <si>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</si>
  <si>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</si>
  <si>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</si>
  <si>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</si>
  <si>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</si>
  <si>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</si>
  <si>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</si>
  <si>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</si>
  <si>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</si>
  <si>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</si>
  <si>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</si>
  <si>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</si>
  <si>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</si>
  <si>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</si>
  <si>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</si>
  <si>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</si>
  <si>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</si>
  <si>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</si>
  <si>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</si>
  <si>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</si>
  <si>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</si>
  <si>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</si>
  <si>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</si>
  <si>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</si>
  <si>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</si>
  <si>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</si>
  <si>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</si>
  <si>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</si>
  <si>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</si>
  <si>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</si>
  <si>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</si>
  <si>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</si>
  <si>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</si>
  <si>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</si>
  <si>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</si>
  <si>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</si>
  <si>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</si>
  <si>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</si>
  <si>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</si>
  <si>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</si>
  <si>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</si>
  <si>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</si>
  <si>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</si>
  <si>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</si>
  <si>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</si>
  <si>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</si>
  <si>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</si>
  <si>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</si>
  <si>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</si>
  <si>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</si>
  <si>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</si>
  <si>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</si>
  <si>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</si>
  <si>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</si>
  <si>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</si>
  <si>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</si>
  <si>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</si>
  <si>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</si>
  <si>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</si>
  <si>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</si>
  <si>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</si>
  <si>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</si>
  <si>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</si>
  <si>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</si>
  <si>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</si>
  <si>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</si>
  <si>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</si>
  <si>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</si>
  <si>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</si>
  <si>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</si>
  <si>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</si>
  <si>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</si>
  <si>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</si>
  <si>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</si>
  <si>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</si>
  <si>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</si>
  <si>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</si>
  <si>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</si>
  <si>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</si>
  <si>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</si>
  <si>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</si>
  <si>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</si>
  <si>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</si>
  <si>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</si>
  <si>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</si>
  <si>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</si>
  <si>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</si>
  <si>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</si>
  <si>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</si>
  <si>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</si>
  <si>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</si>
  <si>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</si>
  <si>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</si>
  <si>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</si>
  <si>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</si>
  <si>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</si>
  <si>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</si>
  <si>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</si>
  <si>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</si>
  <si>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</si>
  <si>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</si>
  <si>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</si>
  <si>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</si>
  <si>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</si>
  <si>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</si>
  <si>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</si>
  <si>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</si>
  <si>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</si>
  <si>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</si>
  <si>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</si>
  <si>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</si>
  <si>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</si>
  <si>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</si>
  <si>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</si>
  <si>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</si>
  <si>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</si>
  <si>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</si>
  <si>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</si>
  <si>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</si>
  <si>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</si>
  <si>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</si>
  <si>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</si>
  <si>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</si>
  <si>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</si>
  <si>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</si>
  <si>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</si>
  <si>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</si>
  <si>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</si>
  <si>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</si>
  <si>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</si>
  <si>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</si>
  <si>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</si>
  <si>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</si>
  <si>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</si>
  <si>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</si>
  <si>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</si>
  <si>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</si>
  <si>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</si>
  <si>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</si>
  <si>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</si>
  <si>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</si>
  <si>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</si>
  <si>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</si>
  <si>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</si>
  <si>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</si>
  <si>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</si>
  <si>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</si>
  <si>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</si>
  <si>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</si>
  <si>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</si>
  <si>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</si>
  <si>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</si>
  <si>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</si>
  <si>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</si>
  <si>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</si>
  <si>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</si>
  <si>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</si>
  <si>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</si>
  <si>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</si>
  <si>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</si>
  <si>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</si>
  <si>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</si>
  <si>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</si>
  <si>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</si>
  <si>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</si>
  <si>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</si>
  <si>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</si>
  <si>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</si>
  <si>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</si>
  <si>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</si>
  <si>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</si>
  <si>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</si>
  <si>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</si>
  <si>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</si>
  <si>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</si>
  <si>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</si>
  <si>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</si>
  <si>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</si>
  <si>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</si>
  <si>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</si>
  <si>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</si>
  <si>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</si>
  <si>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</si>
  <si>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</si>
  <si>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</si>
  <si>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</si>
  <si>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</si>
  <si>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</si>
  <si>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</si>
  <si>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</si>
  <si>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</si>
  <si>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</si>
  <si>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</si>
  <si>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</si>
  <si>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</si>
  <si>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</si>
  <si>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</si>
  <si>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</si>
  <si>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</si>
  <si>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</si>
  <si>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</si>
  <si>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</si>
  <si>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</si>
  <si>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</si>
  <si>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</si>
  <si>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</si>
  <si>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</si>
  <si>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</si>
  <si>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</si>
  <si>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</si>
  <si>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</si>
  <si>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</si>
  <si>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</si>
  <si>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</si>
  <si>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</si>
  <si>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</si>
  <si>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</si>
  <si>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</si>
  <si>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</si>
  <si>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</si>
  <si>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</si>
  <si>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</si>
  <si>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</si>
  <si>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</si>
  <si>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</si>
  <si>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</si>
  <si>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</si>
  <si>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</si>
  <si>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</si>
  <si>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</si>
  <si>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</si>
  <si>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</si>
  <si>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</si>
  <si>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</si>
  <si>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</si>
  <si>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</si>
  <si>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</si>
  <si>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</si>
  <si>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</si>
  <si>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</si>
  <si>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</si>
  <si>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</si>
  <si>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</si>
  <si>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</si>
  <si>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</si>
  <si>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</si>
  <si>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</si>
  <si>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</si>
  <si>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</si>
  <si>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</si>
  <si>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</si>
  <si>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</si>
  <si>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</si>
  <si>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</si>
  <si>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</si>
  <si>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</si>
  <si>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</si>
  <si>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</si>
  <si>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</si>
  <si>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</si>
  <si>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</si>
  <si>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</si>
  <si>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</si>
  <si>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</si>
  <si>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</si>
  <si>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</si>
  <si>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</si>
  <si>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</si>
  <si>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</si>
  <si>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</si>
  <si>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</si>
  <si>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</si>
  <si>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</si>
  <si>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</si>
  <si>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</si>
  <si>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</si>
  <si>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</si>
  <si>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</si>
  <si>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</si>
  <si>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</si>
  <si>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</si>
  <si>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</si>
  <si>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</si>
  <si>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</si>
  <si>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</si>
  <si>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</si>
  <si>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</si>
  <si>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</si>
  <si>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</si>
  <si>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</si>
  <si>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</si>
  <si>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</si>
  <si>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</si>
  <si>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</si>
  <si>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</si>
  <si>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</si>
  <si>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</si>
  <si>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</si>
  <si>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</si>
  <si>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</si>
  <si>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</si>
  <si>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</si>
  <si>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</si>
  <si>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</si>
  <si>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</si>
  <si>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</si>
  <si>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</si>
  <si>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</si>
  <si>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</si>
  <si>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</si>
  <si>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</si>
  <si>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</si>
  <si>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</si>
  <si>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</si>
  <si>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</si>
  <si>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</si>
  <si>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</si>
  <si>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</si>
  <si>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</si>
  <si>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</si>
  <si>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</si>
  <si>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</si>
  <si>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</si>
  <si>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</si>
  <si>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</si>
  <si>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</si>
  <si>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</si>
  <si>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</si>
  <si>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</si>
  <si>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</si>
  <si>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</si>
  <si>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</si>
  <si>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</si>
  <si>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</si>
  <si>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</si>
  <si>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</si>
  <si>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</si>
  <si>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</si>
  <si>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</si>
  <si>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</si>
  <si>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</si>
  <si>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</si>
  <si>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</si>
  <si>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</si>
  <si>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</si>
  <si>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</si>
  <si>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</si>
  <si>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</si>
  <si>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</si>
  <si>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</si>
  <si>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</si>
  <si>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</si>
  <si>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</si>
  <si>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</si>
  <si>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</si>
  <si>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</si>
  <si>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</si>
  <si>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</si>
  <si>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</si>
  <si>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</si>
  <si>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</si>
  <si>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</si>
  <si>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</si>
  <si>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</si>
  <si>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</si>
  <si>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</si>
  <si>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</si>
  <si>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</si>
  <si>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</si>
  <si>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</si>
  <si>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</si>
  <si>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</si>
  <si>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</si>
  <si>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</si>
  <si>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</si>
  <si>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</si>
  <si>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</si>
  <si>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</si>
  <si>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</si>
  <si>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</si>
  <si>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</si>
  <si>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</si>
  <si>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</si>
  <si>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</si>
  <si>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</si>
  <si>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</si>
  <si>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</si>
  <si>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</si>
  <si>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</si>
  <si>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</si>
  <si>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</si>
  <si>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</si>
  <si>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</si>
  <si>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</si>
  <si>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</si>
  <si>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</si>
  <si>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</si>
  <si>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</si>
  <si>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</si>
  <si>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</si>
  <si>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</si>
  <si>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</si>
  <si>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</si>
  <si>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</si>
  <si>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</si>
  <si>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</si>
  <si>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</si>
  <si>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</si>
  <si>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</si>
  <si>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</si>
  <si>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</si>
  <si>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</si>
  <si>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</si>
  <si>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</si>
  <si>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</si>
  <si>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</si>
  <si>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</si>
  <si>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</si>
  <si>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</si>
  <si>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</si>
  <si>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</si>
  <si>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</si>
  <si>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</si>
  <si>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</si>
  <si>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</si>
  <si>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</si>
  <si>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</si>
  <si>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</si>
  <si>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</si>
  <si>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</si>
  <si>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</si>
  <si>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</si>
  <si>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</si>
  <si>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</si>
  <si>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</si>
  <si>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</si>
  <si>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</si>
  <si>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</si>
  <si>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</si>
  <si>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</si>
  <si>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</si>
  <si>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</si>
  <si>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</si>
  <si>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</si>
  <si>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</si>
  <si>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</si>
  <si>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</si>
  <si>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</si>
  <si>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</si>
  <si>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</si>
  <si>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</si>
  <si>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</si>
  <si>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</si>
  <si>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</si>
  <si>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</si>
  <si>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</si>
  <si>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</si>
  <si>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</si>
  <si>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</si>
  <si>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</si>
  <si>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</si>
  <si>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</si>
  <si>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</si>
  <si>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</si>
  <si>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</si>
  <si>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</si>
  <si>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</si>
  <si>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</si>
  <si>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</si>
  <si>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</si>
  <si>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</si>
  <si>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</si>
  <si>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</si>
  <si>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</si>
  <si>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</si>
  <si>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</si>
  <si>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</si>
  <si>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</si>
  <si>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</si>
  <si>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</si>
  <si>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</si>
  <si>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</si>
  <si>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</si>
  <si>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</si>
  <si>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</si>
  <si>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</si>
  <si>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</si>
  <si>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</si>
  <si>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</si>
  <si>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</si>
  <si>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</si>
  <si>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</si>
  <si>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</si>
  <si>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</si>
  <si>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</si>
  <si>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</si>
  <si>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</si>
  <si>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</si>
  <si>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</si>
  <si>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</si>
  <si>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</si>
  <si>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</si>
  <si>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</si>
  <si>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</si>
  <si>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</si>
  <si>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</si>
  <si>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</si>
  <si>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</si>
  <si>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</si>
  <si>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</si>
  <si>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</si>
  <si>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</si>
  <si>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</si>
  <si>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</si>
  <si>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</si>
  <si>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</si>
  <si>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</si>
  <si>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</si>
  <si>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</si>
  <si>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</si>
  <si>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</si>
  <si>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</si>
  <si>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</si>
  <si>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</si>
  <si>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</si>
  <si>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</si>
  <si>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</si>
  <si>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</si>
  <si>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</si>
  <si>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</si>
  <si>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</si>
  <si>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</si>
  <si>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</si>
  <si>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</si>
  <si>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</si>
  <si>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</si>
  <si>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</si>
  <si>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</si>
  <si>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</si>
  <si>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</si>
  <si>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</si>
  <si>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</si>
  <si>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</si>
  <si>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</si>
  <si>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</si>
  <si>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</si>
  <si>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</si>
  <si>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</si>
  <si>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</si>
  <si>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</si>
  <si>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</si>
  <si>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</si>
  <si>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</si>
  <si>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</si>
  <si>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</si>
  <si>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</si>
  <si>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</si>
  <si>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</si>
  <si>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</si>
  <si>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</si>
  <si>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</si>
  <si>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</si>
  <si>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</si>
  <si>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</si>
  <si>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</si>
  <si>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</si>
  <si>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</si>
  <si>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</si>
  <si>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</si>
  <si>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</si>
  <si>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</si>
  <si>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</si>
  <si>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</si>
  <si>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</si>
  <si>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</si>
  <si>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</si>
  <si>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</si>
  <si>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</si>
  <si>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</si>
  <si>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</si>
  <si>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</si>
  <si>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</si>
  <si>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</si>
  <si>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</si>
  <si>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</si>
  <si>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</si>
  <si>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</si>
  <si>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</si>
  <si>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</si>
  <si>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</si>
  <si>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</si>
  <si>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</si>
  <si>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</si>
  <si>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</si>
  <si>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</si>
  <si>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</si>
  <si>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</si>
  <si>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</si>
  <si>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</si>
  <si>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</si>
  <si>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</si>
  <si>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</si>
  <si>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</si>
  <si>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</si>
  <si>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</si>
  <si>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</si>
  <si>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</si>
  <si>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</si>
  <si>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</si>
  <si>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</si>
  <si>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</si>
  <si>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</si>
  <si>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</si>
  <si>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</si>
  <si>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</si>
  <si>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</si>
  <si>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</si>
  <si>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</si>
  <si>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</si>
  <si>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</si>
  <si>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</si>
  <si>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</si>
  <si>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</si>
  <si>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</si>
  <si>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</si>
  <si>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</si>
  <si>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</si>
  <si>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</si>
  <si>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</si>
  <si>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</si>
  <si>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</si>
  <si>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</si>
  <si>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</si>
  <si>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</si>
  <si>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</si>
  <si>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</si>
  <si>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</si>
  <si>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</si>
  <si>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</si>
  <si>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</si>
  <si>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</si>
  <si>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</si>
  <si>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</si>
  <si>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</si>
  <si>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</si>
  <si>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</si>
  <si>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</si>
  <si>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</si>
  <si>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</si>
  <si>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</si>
  <si>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</si>
  <si>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</si>
  <si>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</si>
  <si>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</si>
  <si>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</si>
  <si>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</si>
  <si>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</si>
  <si>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</si>
  <si>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</si>
  <si>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</si>
  <si>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</si>
  <si>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</si>
  <si>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</si>
  <si>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</si>
  <si>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</si>
  <si>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</si>
  <si>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</si>
  <si>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</si>
  <si>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</si>
  <si>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</si>
  <si>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</si>
  <si>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</si>
  <si>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</si>
  <si>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</si>
  <si>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</si>
  <si>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</si>
  <si>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</si>
  <si>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</si>
  <si>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</si>
  <si>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</si>
  <si>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</si>
  <si>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</si>
  <si>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</si>
  <si>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</si>
  <si>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</si>
  <si>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</si>
  <si>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</si>
  <si>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</si>
  <si>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</si>
  <si>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</si>
  <si>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</si>
  <si>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</si>
  <si>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</si>
  <si>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</si>
  <si>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</si>
  <si>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</si>
  <si>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</si>
  <si>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</si>
  <si>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</si>
  <si>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</si>
  <si>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</si>
  <si>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</si>
  <si>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</si>
  <si>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</si>
  <si>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</si>
  <si>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</si>
  <si>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</si>
  <si>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</si>
  <si>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</si>
  <si>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</si>
  <si>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</si>
  <si>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</si>
  <si>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</si>
  <si>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</si>
  <si>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</si>
  <si>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</si>
  <si>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</si>
  <si>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</si>
  <si>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</si>
  <si>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</si>
  <si>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</si>
  <si>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</si>
  <si>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</si>
  <si>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</si>
  <si>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</si>
  <si>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</si>
  <si>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</si>
  <si>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</si>
  <si>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</si>
  <si>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</si>
  <si>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</si>
  <si>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</si>
  <si>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</si>
  <si>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</si>
  <si>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</si>
  <si>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</si>
  <si>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</si>
  <si>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</si>
  <si>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</si>
  <si>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</si>
  <si>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</si>
  <si>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</si>
  <si>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</si>
  <si>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</si>
  <si>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</si>
  <si>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</si>
  <si>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</si>
  <si>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</si>
  <si>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</si>
  <si>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</si>
  <si>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</si>
  <si>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</si>
  <si>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</si>
  <si>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</si>
  <si>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</si>
  <si>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</si>
  <si>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</si>
  <si>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</si>
  <si>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</si>
  <si>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</si>
  <si>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</si>
  <si>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</si>
  <si>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</si>
  <si>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</si>
  <si>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</si>
  <si>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</si>
  <si>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</si>
  <si>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</si>
  <si>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</si>
  <si>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</si>
  <si>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</si>
  <si>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</si>
  <si>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</si>
  <si>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</si>
  <si>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</si>
  <si>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</si>
  <si>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</si>
  <si>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</si>
  <si>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</si>
  <si>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</si>
  <si>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</si>
  <si>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</si>
  <si>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</si>
  <si>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</si>
  <si>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</si>
  <si>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</si>
  <si>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</si>
  <si>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</si>
  <si>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</si>
  <si>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</si>
  <si>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</si>
  <si>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</si>
  <si>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</si>
  <si>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</si>
  <si>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</si>
  <si>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</si>
  <si>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</si>
  <si>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</si>
  <si>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</si>
  <si>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</si>
  <si>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</si>
  <si>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</si>
  <si>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</si>
  <si>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</si>
  <si>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</si>
  <si>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</si>
  <si>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</si>
  <si>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</si>
  <si>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</si>
  <si>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</si>
  <si>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</si>
  <si>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</si>
  <si>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</si>
  <si>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</si>
  <si>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</si>
  <si>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</si>
  <si>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</si>
  <si>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</si>
  <si>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</si>
  <si>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</si>
  <si>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</si>
  <si>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</si>
  <si>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</si>
  <si>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</si>
  <si>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</si>
  <si>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</si>
  <si>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</si>
  <si>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</si>
  <si>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</si>
  <si>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</si>
  <si>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</si>
  <si>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</si>
  <si>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</si>
  <si>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</si>
  <si>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</si>
  <si>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</si>
  <si>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</si>
  <si>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</si>
  <si>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</si>
  <si>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</si>
  <si>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</si>
  <si>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</si>
  <si>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</si>
  <si>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</si>
  <si>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</si>
  <si>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</si>
  <si>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</si>
  <si>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</si>
  <si>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</si>
  <si>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</si>
  <si>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</si>
  <si>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</si>
  <si>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</si>
  <si>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</si>
  <si>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</si>
  <si>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</si>
  <si>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</si>
  <si>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</si>
  <si>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</si>
  <si>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</si>
  <si>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</si>
  <si>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</si>
  <si>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</si>
  <si>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</si>
  <si>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</si>
  <si>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</si>
  <si>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</si>
  <si>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</si>
  <si>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</si>
  <si>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</si>
  <si>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</si>
  <si>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</si>
  <si>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</si>
  <si>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</si>
  <si>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</si>
  <si>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</si>
  <si>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</si>
  <si>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</si>
  <si>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</si>
  <si>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</si>
  <si>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</si>
  <si>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</si>
  <si>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</si>
  <si>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</si>
  <si>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</si>
  <si>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</si>
  <si>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</si>
  <si>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</si>
  <si>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</si>
  <si>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</si>
  <si>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</si>
  <si>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</si>
  <si>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</si>
  <si>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</si>
  <si>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</si>
  <si>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</si>
  <si>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</si>
  <si>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</si>
  <si>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</si>
  <si>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</si>
  <si>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</si>
  <si>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</si>
  <si>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</si>
  <si>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</si>
  <si>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</si>
  <si>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</si>
  <si>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</si>
  <si>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</si>
  <si>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</si>
  <si>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</si>
  <si>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</si>
  <si>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</si>
  <si>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</si>
  <si>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</si>
  <si>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</si>
  <si>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</si>
  <si>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</si>
  <si>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</si>
  <si>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</si>
  <si>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</si>
  <si>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</si>
  <si>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</si>
  <si>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</si>
  <si>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</si>
  <si>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</si>
  <si>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</si>
  <si>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</si>
  <si>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</si>
  <si>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</si>
  <si>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</si>
  <si>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</si>
  <si>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</si>
  <si>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</si>
  <si>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</si>
  <si>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</si>
  <si>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</si>
  <si>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</si>
  <si>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</si>
  <si>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</si>
  <si>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</si>
  <si>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</si>
  <si>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</si>
  <si>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</si>
  <si>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</si>
  <si>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</si>
  <si>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</si>
  <si>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</si>
  <si>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</si>
  <si>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</si>
  <si>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</si>
  <si>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</si>
  <si>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</si>
  <si>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</si>
  <si>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</si>
  <si>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</si>
  <si>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</si>
  <si>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</si>
  <si>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</si>
  <si>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</si>
  <si>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</si>
  <si>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</si>
  <si>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</si>
  <si>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</si>
  <si>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</si>
  <si>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</si>
  <si>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</si>
  <si>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</si>
  <si>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</si>
  <si>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</si>
  <si>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</si>
  <si>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</si>
  <si>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</si>
  <si>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</si>
  <si>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</si>
  <si>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</si>
  <si>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</si>
  <si>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</si>
  <si>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</si>
  <si>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</si>
  <si>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</si>
  <si>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</si>
  <si>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</si>
  <si>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</si>
  <si>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</si>
  <si>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</si>
  <si>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</si>
  <si>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</si>
  <si>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</si>
  <si>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</si>
  <si>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</si>
  <si>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</si>
  <si>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</si>
  <si>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</si>
  <si>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</si>
  <si>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</si>
  <si>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</si>
  <si>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</si>
  <si>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</si>
  <si>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</si>
  <si>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</si>
  <si>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</si>
  <si>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</si>
  <si>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</si>
  <si>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</si>
  <si>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</si>
  <si>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</si>
  <si>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</si>
  <si>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</si>
  <si>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</si>
  <si>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</si>
  <si>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</si>
  <si>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</si>
  <si>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</si>
  <si>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</si>
  <si>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</si>
  <si>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</si>
  <si>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</si>
  <si>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</si>
  <si>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</si>
  <si>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</si>
  <si>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</si>
  <si>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</si>
  <si>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</si>
  <si>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</si>
  <si>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</si>
  <si>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</si>
  <si>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</si>
  <si>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</si>
  <si>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</si>
  <si>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</si>
  <si>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</si>
  <si>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</si>
  <si>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</si>
  <si>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</si>
  <si>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</si>
  <si>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</si>
  <si>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</si>
  <si>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</si>
  <si>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</si>
  <si>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</si>
  <si>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</si>
  <si>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</si>
  <si>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</si>
  <si>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</si>
  <si>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</si>
  <si>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</si>
  <si>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</si>
  <si>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</si>
  <si>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</si>
  <si>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</si>
  <si>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</si>
  <si>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</si>
  <si>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</si>
  <si>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</si>
  <si>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</si>
  <si>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</si>
  <si>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</si>
  <si>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</si>
  <si>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</si>
  <si>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</si>
  <si>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</si>
  <si>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</si>
  <si>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</si>
  <si>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</si>
  <si>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</si>
  <si>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</si>
  <si>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</si>
  <si>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</si>
  <si>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</si>
  <si>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</si>
  <si>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</si>
  <si>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</si>
  <si>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</si>
  <si>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</si>
  <si>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</si>
  <si>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</si>
  <si>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</si>
  <si>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</si>
  <si>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</si>
  <si>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</si>
  <si>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</si>
  <si>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</si>
  <si>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</si>
  <si>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</si>
  <si>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</si>
  <si>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</si>
  <si>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</si>
  <si>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</si>
  <si>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</si>
  <si>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</si>
  <si>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</si>
  <si>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</si>
  <si>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</si>
  <si>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</si>
  <si>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</si>
  <si>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</si>
  <si>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</si>
  <si>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</si>
  <si>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</si>
  <si>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</si>
  <si>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</si>
  <si>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</si>
  <si>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</si>
  <si>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</si>
  <si>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</si>
  <si>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</si>
  <si>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</si>
  <si>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</si>
  <si>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</si>
  <si>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</si>
  <si>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</si>
  <si>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</si>
  <si>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</si>
  <si>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</si>
  <si>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</si>
  <si>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</si>
  <si>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</si>
  <si>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</si>
  <si>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</si>
  <si>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</si>
  <si>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</si>
  <si>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</si>
  <si>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</si>
  <si>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</si>
  <si>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</si>
  <si>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</si>
  <si>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</si>
  <si>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</si>
  <si>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</si>
  <si>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</si>
  <si>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</si>
  <si>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</si>
  <si>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</si>
  <si>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</si>
  <si>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</si>
  <si>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</si>
  <si>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</si>
  <si>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</si>
  <si>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</si>
  <si>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</si>
  <si>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</si>
  <si>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</si>
  <si>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</si>
  <si>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</si>
  <si>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</si>
  <si>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</si>
  <si>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</si>
  <si>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</si>
  <si>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</si>
  <si>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</si>
  <si>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</si>
  <si>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</si>
  <si>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</si>
  <si>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</si>
  <si>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</si>
  <si>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</si>
  <si>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</si>
  <si>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</si>
  <si>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</si>
  <si>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</si>
  <si>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</si>
  <si>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</si>
  <si>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</si>
  <si>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</si>
  <si>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</si>
  <si>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</si>
  <si>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</si>
  <si>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</si>
  <si>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</si>
  <si>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</si>
  <si>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</si>
  <si>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</si>
  <si>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</si>
  <si>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</si>
  <si>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</si>
  <si>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</si>
  <si>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</si>
  <si>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</si>
  <si>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</si>
  <si>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</si>
  <si>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</si>
  <si>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</si>
  <si>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</si>
  <si>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</si>
  <si>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</si>
  <si>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</si>
  <si>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</si>
  <si>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</si>
  <si>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</si>
  <si>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</si>
  <si>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</si>
  <si>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</si>
  <si>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</si>
  <si>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</si>
  <si>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</si>
  <si>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</si>
  <si>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</si>
  <si>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</si>
  <si>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</si>
  <si>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</si>
  <si>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</si>
  <si>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</si>
  <si>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</si>
  <si>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</si>
  <si>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</si>
  <si>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</si>
  <si>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</si>
  <si>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</si>
  <si>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</si>
  <si>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</si>
  <si>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</si>
  <si>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</si>
  <si>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</si>
  <si>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</si>
  <si>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</si>
  <si>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</si>
  <si>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</si>
  <si>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</si>
  <si>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</si>
  <si>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</si>
  <si>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</si>
  <si>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</si>
  <si>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</si>
  <si>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</si>
  <si>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</si>
  <si>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</si>
  <si>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</si>
  <si>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</si>
  <si>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</si>
  <si>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</si>
  <si>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</si>
  <si>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</si>
  <si>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</si>
  <si>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</si>
  <si>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</si>
  <si>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</si>
  <si>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</si>
  <si>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</si>
  <si>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</si>
  <si>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</si>
  <si>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</si>
  <si>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</si>
  <si>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</si>
  <si>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</si>
  <si>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</si>
  <si>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</si>
  <si>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</si>
  <si>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</si>
  <si>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</si>
  <si>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</si>
  <si>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</si>
  <si>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</si>
  <si>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</si>
  <si>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</si>
  <si>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</si>
  <si>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</si>
  <si>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</si>
  <si>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</si>
  <si>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</si>
  <si>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</si>
  <si>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</si>
  <si>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</si>
  <si>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</si>
  <si>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</si>
  <si>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</si>
  <si>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</si>
  <si>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</si>
  <si>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</si>
  <si>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</si>
  <si>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</si>
  <si>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</si>
  <si>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</si>
  <si>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</si>
  <si>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</si>
  <si>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</si>
  <si>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</si>
  <si>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</si>
  <si>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</si>
  <si>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</si>
  <si>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</si>
  <si>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</si>
  <si>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</si>
  <si>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</si>
  <si>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</si>
  <si>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</si>
  <si>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</si>
  <si>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</si>
  <si>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</si>
  <si>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</si>
  <si>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</si>
  <si>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</si>
  <si>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</si>
  <si>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</si>
  <si>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</si>
  <si>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</si>
  <si>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</si>
  <si>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</si>
  <si>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</si>
  <si>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</si>
  <si>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</si>
  <si>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</si>
  <si>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</si>
  <si>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</si>
  <si>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</si>
  <si>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</si>
  <si>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</si>
  <si>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</si>
  <si>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</si>
  <si>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</si>
  <si>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</si>
  <si>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</si>
  <si>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</si>
  <si>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</si>
  <si>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</si>
  <si>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</si>
  <si>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</si>
  <si>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</si>
  <si>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</si>
  <si>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</si>
  <si>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</si>
  <si>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</si>
  <si>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</si>
  <si>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</si>
  <si>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</si>
  <si>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</si>
  <si>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</si>
  <si>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</si>
  <si>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</si>
  <si>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</si>
  <si>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</si>
  <si>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</si>
  <si>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</si>
  <si>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</si>
  <si>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</si>
  <si>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</si>
  <si>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</si>
  <si>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</si>
  <si>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</si>
  <si>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</si>
  <si>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</si>
  <si>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</si>
  <si>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</si>
  <si>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</si>
  <si>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</si>
  <si>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</si>
  <si>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</si>
  <si>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</si>
  <si>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</si>
  <si>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</si>
  <si>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</si>
  <si>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</si>
  <si>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</si>
  <si>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</si>
  <si>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</si>
  <si>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</si>
  <si>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</si>
  <si>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</si>
  <si>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</si>
  <si>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</si>
  <si>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</si>
  <si>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</si>
  <si>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</si>
  <si>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</si>
  <si>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</si>
  <si>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</si>
  <si>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</si>
  <si>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</si>
  <si>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</si>
  <si>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</si>
  <si>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</si>
  <si>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</si>
  <si>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</si>
  <si>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</si>
  <si>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</si>
  <si>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</si>
  <si>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</si>
  <si>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</si>
  <si>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</si>
  <si>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</si>
  <si>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</si>
  <si>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</si>
  <si>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</si>
  <si>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</si>
  <si>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</si>
  <si>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</si>
  <si>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</si>
  <si>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</si>
  <si>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</si>
  <si>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</si>
  <si>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</si>
  <si>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</si>
  <si>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</si>
  <si>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</si>
  <si>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</si>
  <si>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</si>
  <si>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</si>
  <si>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</si>
  <si>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</si>
  <si>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</si>
  <si>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</si>
  <si>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</si>
  <si>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</si>
  <si>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</si>
  <si>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</si>
  <si>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</si>
  <si>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</si>
  <si>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</si>
  <si>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</si>
  <si>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</si>
  <si>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</si>
  <si>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</si>
  <si>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</si>
  <si>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</si>
  <si>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</si>
  <si>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</si>
  <si>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</si>
  <si>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</si>
  <si>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</si>
  <si>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</si>
  <si>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</si>
  <si>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</si>
  <si>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</si>
  <si>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</si>
  <si>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</si>
  <si>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</si>
  <si>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</si>
  <si>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</si>
  <si>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</si>
  <si>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</si>
  <si>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</si>
  <si>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</si>
  <si>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</si>
  <si>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</si>
  <si>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</si>
  <si>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</si>
  <si>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</si>
  <si>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</si>
  <si>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</si>
  <si>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</si>
  <si>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</si>
  <si>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</si>
  <si>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</si>
  <si>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</si>
  <si>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</si>
  <si>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</si>
  <si>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</si>
  <si>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</si>
  <si>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</si>
  <si>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</si>
  <si>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</si>
  <si>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</si>
  <si>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</si>
  <si>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</si>
  <si>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</si>
  <si>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</si>
  <si>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</si>
  <si>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</si>
  <si>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</si>
  <si>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</si>
  <si>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</si>
  <si>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</si>
  <si>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</si>
  <si>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</si>
  <si>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</si>
  <si>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</si>
  <si>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</si>
  <si>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</si>
  <si>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</si>
  <si>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</si>
  <si>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</si>
  <si>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</si>
  <si>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</si>
  <si>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</si>
  <si>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</si>
  <si>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</si>
  <si>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</si>
  <si>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</si>
  <si>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</si>
  <si>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</si>
  <si>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</si>
  <si>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</si>
  <si>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</si>
  <si>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</si>
  <si>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</si>
  <si>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</si>
  <si>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</si>
  <si>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</si>
  <si>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</si>
  <si>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</si>
  <si>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</si>
  <si>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</si>
  <si>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</si>
  <si>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</si>
  <si>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</si>
  <si>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</si>
  <si>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</si>
  <si>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</si>
  <si>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</si>
  <si>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</si>
  <si>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</si>
  <si>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</si>
  <si>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</si>
  <si>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</si>
  <si>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</si>
  <si>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</si>
  <si>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</si>
  <si>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</si>
  <si>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</si>
  <si>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</si>
  <si>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</si>
  <si>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</si>
  <si>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</si>
  <si>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</si>
  <si>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</si>
  <si>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</si>
  <si>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</si>
  <si>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</si>
  <si>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</si>
  <si>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</si>
  <si>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</si>
  <si>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</si>
  <si>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</si>
  <si>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</si>
  <si>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</si>
  <si>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</si>
  <si>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</si>
  <si>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</si>
  <si>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</si>
  <si>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</si>
  <si>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</si>
  <si>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</si>
  <si>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</si>
  <si>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</si>
  <si>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</si>
  <si>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</si>
  <si>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</si>
  <si>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</si>
  <si>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</si>
  <si>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</si>
  <si>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</si>
  <si>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</si>
  <si>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</si>
  <si>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</si>
  <si>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</si>
  <si>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</si>
  <si>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</si>
  <si>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</si>
  <si>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</si>
  <si>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</si>
  <si>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</si>
  <si>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</si>
  <si>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</si>
  <si>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</si>
  <si>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</si>
  <si>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</si>
  <si>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</si>
  <si>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</si>
  <si>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</si>
  <si>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</si>
  <si>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</si>
  <si>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</si>
  <si>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</si>
  <si>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</si>
  <si>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</si>
  <si>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</si>
  <si>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</si>
  <si>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</si>
  <si>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</si>
  <si>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</si>
  <si>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</si>
  <si>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</si>
  <si>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</si>
  <si>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</si>
  <si>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</si>
  <si>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</si>
  <si>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</si>
  <si>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</si>
  <si>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</si>
  <si>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</si>
  <si>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</si>
  <si>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</si>
  <si>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</si>
  <si>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</si>
  <si>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</si>
  <si>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</si>
  <si>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</si>
  <si>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</si>
  <si>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</si>
  <si>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</si>
  <si>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</si>
  <si>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</si>
  <si>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</si>
  <si>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</si>
  <si>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</si>
  <si>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</si>
  <si>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</si>
  <si>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</si>
  <si>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</si>
  <si>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</si>
  <si>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</si>
  <si>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</si>
  <si>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</si>
  <si>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</si>
  <si>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</si>
  <si>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</si>
  <si>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</si>
  <si>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</si>
  <si>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</si>
  <si>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</si>
  <si>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</si>
  <si>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</si>
  <si>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</si>
  <si>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</si>
  <si>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</si>
  <si>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</si>
  <si>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</si>
  <si>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</si>
  <si>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</si>
  <si>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</si>
  <si>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</si>
  <si>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</si>
  <si>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</si>
  <si>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</si>
  <si>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</si>
  <si>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</si>
  <si>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</si>
  <si>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</si>
  <si>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</si>
  <si>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</si>
  <si>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</si>
  <si>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</si>
  <si>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</si>
  <si>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</si>
  <si>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</si>
  <si>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</si>
  <si>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</si>
  <si>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</si>
  <si>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</si>
  <si>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</si>
  <si>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</si>
  <si>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</si>
  <si>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</si>
  <si>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</si>
  <si>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</si>
  <si>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</si>
  <si>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</si>
  <si>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</si>
  <si>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</si>
  <si>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</si>
  <si>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</si>
  <si>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</si>
  <si>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</si>
  <si>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</si>
  <si>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</si>
  <si>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</si>
  <si>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</si>
  <si>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</si>
  <si>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</si>
  <si>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</si>
  <si>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</si>
  <si>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</si>
  <si>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</si>
  <si>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</si>
  <si>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</si>
  <si>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</si>
  <si>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</si>
  <si>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</si>
  <si>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</si>
  <si>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</si>
  <si>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</si>
  <si>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</si>
  <si>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</si>
  <si>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</si>
  <si>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</si>
  <si>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</si>
  <si>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</si>
  <si>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</si>
  <si>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</si>
  <si>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</si>
  <si>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</si>
  <si>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</si>
  <si>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</si>
  <si>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</si>
  <si>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</si>
  <si>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</si>
  <si>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</si>
  <si>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</si>
  <si>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</si>
  <si>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</si>
  <si>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</si>
  <si>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</si>
  <si>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</si>
  <si>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</si>
  <si>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</si>
  <si>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</si>
  <si>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</si>
  <si>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</si>
  <si>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</si>
  <si>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</si>
  <si>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</si>
  <si>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</si>
  <si>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</si>
  <si>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</si>
  <si>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</si>
  <si>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</si>
  <si>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</si>
  <si>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</si>
  <si>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</si>
  <si>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</si>
  <si>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</si>
  <si>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</si>
  <si>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</si>
  <si>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</si>
  <si>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</si>
  <si>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</si>
  <si>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</si>
  <si>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</si>
  <si>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</si>
  <si>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</si>
  <si>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</si>
  <si>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</si>
  <si>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</si>
  <si>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</si>
  <si>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</si>
  <si>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</si>
  <si>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</si>
  <si>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</si>
  <si>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</si>
  <si>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</si>
  <si>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</si>
  <si>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</si>
  <si>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</si>
  <si>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</si>
  <si>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</si>
  <si>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</si>
  <si>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</si>
  <si>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</si>
  <si>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</si>
  <si>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</si>
  <si>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</si>
  <si>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</si>
  <si>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</si>
  <si>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</si>
  <si>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</si>
  <si>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</si>
  <si>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</si>
  <si>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</si>
  <si>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</si>
  <si>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</si>
  <si>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</si>
  <si>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</si>
  <si>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</si>
  <si>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</si>
  <si>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</si>
  <si>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</si>
  <si>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</si>
  <si>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</si>
  <si>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</si>
  <si>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</si>
  <si>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</si>
  <si>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</si>
  <si>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</si>
  <si>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</si>
  <si>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</si>
  <si>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</si>
  <si>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</si>
  <si>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</si>
  <si>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</si>
  <si>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</si>
  <si>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</si>
  <si>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</si>
  <si>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</si>
  <si>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</si>
  <si>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</si>
  <si>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</si>
  <si>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</si>
  <si>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</si>
  <si>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</si>
  <si>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</si>
  <si>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</si>
  <si>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</si>
  <si>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</si>
  <si>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</si>
  <si>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</si>
  <si>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</si>
  <si>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</si>
  <si>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</si>
  <si>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</si>
  <si>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</si>
  <si>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</si>
  <si>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</si>
  <si>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</si>
  <si>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</si>
  <si>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</si>
  <si>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</si>
  <si>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</si>
  <si>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</si>
  <si>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</si>
  <si>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</si>
  <si>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</si>
  <si>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</si>
  <si>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</si>
  <si>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</si>
  <si>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</si>
  <si>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</si>
  <si>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</si>
  <si>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</si>
  <si>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</si>
  <si>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</si>
  <si>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</si>
  <si>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</si>
  <si>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</si>
  <si>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</si>
  <si>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</si>
  <si>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</si>
  <si>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</si>
  <si>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</si>
  <si>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</si>
  <si>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</si>
  <si>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</si>
  <si>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</si>
  <si>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</si>
  <si>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</si>
  <si>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</si>
  <si>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</si>
  <si>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</si>
  <si>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</si>
  <si>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</si>
  <si>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</si>
  <si>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</si>
  <si>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</si>
  <si>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</si>
  <si>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</si>
  <si>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</si>
  <si>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</si>
  <si>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</si>
  <si>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</si>
  <si>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</si>
  <si>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</si>
  <si>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</si>
  <si>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</si>
  <si>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</si>
  <si>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</si>
  <si>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</si>
  <si>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</si>
  <si>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</si>
  <si>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</si>
  <si>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</si>
  <si>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</si>
  <si>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</si>
  <si>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</si>
  <si>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</si>
  <si>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</si>
  <si>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</si>
  <si>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</si>
  <si>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</si>
  <si>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</si>
  <si>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</si>
  <si>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</si>
  <si>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</si>
  <si>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</si>
  <si>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</si>
  <si>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</si>
  <si>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</si>
  <si>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</si>
  <si>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</si>
  <si>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</si>
  <si>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</si>
  <si>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</si>
  <si>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</si>
  <si>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</si>
  <si>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</si>
  <si>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</si>
  <si>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</si>
  <si>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</si>
  <si>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</si>
  <si>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</si>
  <si>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</si>
  <si>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</si>
  <si>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</si>
  <si>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</si>
  <si>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</si>
  <si>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</si>
  <si>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</si>
  <si>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</si>
  <si>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</si>
  <si>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</si>
  <si>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</si>
  <si>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</si>
  <si>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</si>
  <si>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</si>
  <si>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</si>
  <si>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</si>
  <si>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</si>
  <si>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</si>
  <si>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</si>
  <si>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</si>
  <si>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</si>
  <si>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</si>
  <si>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</si>
  <si>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</si>
  <si>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</si>
  <si>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</si>
  <si>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</si>
  <si>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</si>
  <si>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</si>
  <si>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</si>
  <si>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</si>
  <si>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</si>
  <si>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</si>
  <si>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</si>
  <si>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</si>
  <si>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</si>
  <si>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</si>
  <si>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</si>
  <si>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</si>
  <si>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</si>
  <si>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</si>
  <si>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</si>
  <si>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</si>
  <si>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</si>
  <si>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</si>
  <si>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</si>
  <si>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</si>
  <si>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</si>
  <si>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</si>
  <si>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</si>
  <si>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</si>
  <si>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</si>
  <si>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</si>
  <si>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</si>
  <si>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</si>
  <si>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</si>
  <si>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</si>
  <si>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</si>
  <si>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</si>
  <si>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</si>
  <si>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</si>
  <si>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</si>
  <si>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</si>
  <si>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</si>
  <si>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</si>
  <si>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</si>
  <si>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</si>
  <si>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</si>
  <si>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</si>
  <si>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</si>
  <si>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</si>
  <si>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</si>
  <si>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</si>
  <si>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</si>
  <si>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</si>
  <si>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</si>
  <si>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</si>
  <si>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</si>
  <si>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</si>
  <si>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</si>
  <si>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</si>
  <si>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</si>
  <si>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</si>
  <si>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</si>
  <si>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</si>
  <si>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</si>
  <si>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</si>
  <si>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</si>
  <si>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</si>
  <si>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</si>
  <si>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</si>
  <si>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</si>
  <si>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</si>
  <si>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</si>
  <si>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</si>
  <si>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</si>
  <si>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</si>
  <si>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</si>
  <si>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</si>
  <si>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</si>
  <si>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</si>
  <si>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</si>
  <si>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</si>
  <si>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</si>
  <si>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</si>
  <si>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</si>
  <si>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</si>
  <si>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</si>
  <si>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</si>
  <si>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</si>
  <si>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</si>
  <si>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</si>
  <si>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</si>
  <si>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</si>
  <si>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</si>
  <si>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</si>
  <si>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</si>
  <si>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</si>
  <si>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</si>
  <si>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</si>
  <si>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</si>
  <si>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</si>
  <si>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</si>
  <si>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</si>
  <si>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</si>
  <si>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</si>
  <si>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</si>
  <si>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</si>
  <si>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</si>
  <si>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</si>
  <si>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</si>
  <si>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</si>
  <si>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</si>
  <si>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</si>
  <si>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</si>
  <si>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</si>
  <si>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</si>
  <si>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</si>
  <si>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</si>
  <si>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</si>
  <si>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</si>
  <si>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</si>
  <si>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</si>
  <si>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</si>
  <si>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</si>
  <si>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</si>
  <si>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</si>
  <si>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</si>
  <si>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</si>
  <si>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</si>
  <si>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</si>
  <si>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</si>
  <si>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</si>
  <si>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</si>
  <si>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</si>
  <si>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</si>
  <si>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</si>
  <si>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</si>
  <si>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</si>
  <si>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</si>
  <si>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</si>
  <si>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</si>
  <si>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</si>
  <si>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</si>
  <si>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</si>
  <si>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</si>
  <si>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</si>
  <si>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</si>
  <si>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</si>
  <si>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</si>
  <si>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</si>
  <si>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</si>
  <si>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</si>
  <si>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</si>
  <si>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</si>
  <si>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</si>
  <si>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</si>
  <si>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</si>
  <si>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</si>
  <si>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</si>
  <si>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</si>
  <si>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</si>
  <si>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</si>
  <si>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</si>
  <si>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</si>
  <si>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</si>
  <si>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</si>
  <si>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</si>
  <si>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</si>
  <si>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</si>
  <si>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</si>
  <si>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</si>
  <si>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</si>
  <si>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</si>
  <si>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</si>
  <si>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</si>
  <si>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</si>
  <si>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</si>
  <si>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</si>
  <si>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</si>
  <si>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</si>
  <si>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</si>
  <si>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</si>
  <si>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</si>
  <si>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</si>
  <si>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</si>
  <si>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</si>
  <si>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</si>
  <si>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</si>
  <si>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</si>
  <si>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</si>
  <si>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</si>
  <si>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</si>
  <si>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</si>
  <si>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</si>
  <si>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</si>
  <si>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</si>
  <si>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</si>
  <si>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</si>
  <si>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</si>
  <si>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</si>
  <si>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</si>
  <si>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</si>
  <si>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</si>
  <si>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</si>
  <si>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</si>
  <si>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</si>
  <si>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</si>
  <si>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</si>
  <si>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</si>
  <si>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</si>
  <si>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</si>
  <si>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</si>
  <si>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</si>
  <si>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</si>
  <si>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</si>
  <si>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</si>
  <si>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</si>
  <si>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</si>
  <si>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</si>
  <si>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</si>
  <si>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</si>
  <si>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</si>
  <si>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</si>
  <si>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</si>
  <si>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</si>
  <si>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</si>
  <si>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</si>
  <si>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</si>
  <si>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</si>
  <si>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</si>
  <si>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</si>
  <si>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</si>
  <si>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</si>
  <si>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</si>
  <si>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</si>
  <si>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</si>
  <si>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</si>
  <si>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</si>
  <si>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</si>
  <si>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</si>
  <si>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</si>
  <si>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</si>
  <si>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</si>
  <si>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</si>
  <si>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</si>
  <si>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</si>
  <si>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</si>
  <si>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</si>
  <si>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</si>
  <si>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</si>
  <si>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</si>
  <si>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</si>
  <si>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</si>
  <si>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</si>
  <si>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</si>
  <si>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</si>
  <si>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</si>
  <si>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</si>
  <si>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</si>
  <si>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</si>
  <si>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</si>
  <si>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</si>
  <si>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</si>
  <si>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</si>
  <si>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</si>
  <si>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</si>
  <si>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</si>
  <si>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</si>
  <si>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</si>
  <si>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</si>
  <si>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</si>
  <si>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</si>
  <si>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</si>
  <si>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</si>
  <si>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</si>
  <si>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</si>
  <si>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</si>
  <si>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</si>
  <si>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</si>
  <si>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</si>
  <si>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</si>
  <si>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</si>
  <si>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</si>
  <si>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</si>
  <si>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</si>
  <si>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</si>
  <si>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</si>
  <si>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</si>
  <si>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</si>
  <si>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</si>
  <si>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</si>
  <si>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</si>
  <si>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</si>
  <si>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</si>
  <si>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</si>
  <si>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</si>
  <si>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</si>
  <si>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</si>
  <si>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</si>
  <si>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</si>
  <si>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</si>
  <si>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</si>
  <si>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</si>
  <si>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</si>
  <si>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</si>
  <si>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</si>
  <si>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</si>
  <si>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</si>
  <si>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</si>
  <si>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</si>
  <si>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</si>
  <si>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</si>
  <si>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</si>
  <si>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</si>
  <si>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</si>
  <si>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</si>
  <si>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</si>
  <si>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</si>
  <si>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</si>
  <si>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</si>
  <si>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</si>
  <si>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</si>
  <si>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</si>
  <si>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</si>
  <si>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</si>
  <si>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</si>
  <si>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</si>
  <si>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</si>
  <si>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</si>
  <si>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</si>
  <si>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</si>
  <si>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</si>
  <si>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</si>
  <si>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</si>
  <si>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</si>
  <si>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</si>
  <si>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</si>
  <si>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</si>
  <si>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</si>
  <si>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</si>
  <si>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</si>
  <si>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</si>
  <si>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</si>
  <si>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</si>
  <si>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</si>
  <si>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</si>
  <si>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</si>
  <si>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</si>
  <si>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</si>
  <si>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</si>
  <si>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</si>
  <si>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</si>
  <si>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</si>
  <si>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</si>
  <si>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</si>
  <si>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</si>
  <si>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</si>
  <si>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</si>
  <si>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</si>
  <si>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</si>
  <si>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</si>
  <si>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</si>
  <si>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</si>
  <si>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</si>
  <si>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</si>
  <si>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</si>
  <si>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</si>
  <si>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</si>
  <si>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</si>
  <si>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</si>
  <si>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</si>
  <si>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</si>
  <si>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</si>
  <si>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</si>
  <si>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</si>
  <si>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</si>
  <si>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</si>
  <si>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</si>
  <si>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</si>
  <si>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</si>
  <si>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</si>
  <si>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</si>
  <si>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</si>
  <si>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</si>
  <si>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</si>
  <si>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</si>
  <si>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</si>
  <si>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</si>
  <si>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</si>
  <si>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</si>
  <si>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</si>
  <si>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</si>
  <si>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</si>
  <si>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</si>
  <si>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</si>
  <si>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</si>
  <si>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</si>
  <si>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</si>
  <si>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</si>
  <si>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</si>
  <si>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</si>
  <si>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</si>
  <si>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</si>
  <si>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</si>
  <si>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</si>
  <si>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</si>
  <si>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</si>
  <si>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</si>
  <si>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</si>
  <si>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</si>
  <si>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</si>
  <si>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</si>
  <si>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</si>
  <si>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</si>
  <si>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</si>
  <si>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</si>
  <si>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</si>
  <si>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</si>
  <si>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</si>
  <si>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</si>
  <si>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</si>
  <si>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</si>
  <si>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</si>
  <si>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</si>
  <si>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</si>
  <si>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</si>
  <si>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</si>
  <si>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</si>
  <si>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</si>
  <si>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</si>
  <si>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</si>
  <si>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</si>
  <si>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</si>
  <si>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</si>
  <si>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</si>
  <si>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</si>
  <si>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</si>
  <si>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</si>
  <si>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</si>
  <si>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</si>
  <si>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</si>
  <si>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</si>
  <si>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</si>
  <si>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</si>
  <si>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</si>
  <si>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</si>
  <si>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</si>
  <si>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</si>
  <si>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</si>
  <si>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</si>
  <si>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</si>
  <si>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</si>
  <si>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</si>
  <si>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</si>
  <si>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</si>
  <si>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</si>
  <si>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</si>
  <si>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</si>
  <si>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</si>
  <si>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</si>
  <si>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</si>
  <si>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</si>
  <si>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</si>
  <si>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</si>
  <si>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</si>
  <si>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</si>
  <si>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</si>
  <si>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</si>
  <si>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</si>
  <si>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</si>
  <si>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</si>
  <si>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</si>
  <si>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</si>
  <si>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</si>
  <si>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</si>
  <si>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</si>
  <si>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</si>
  <si>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</si>
  <si>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</si>
  <si>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</si>
  <si>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</si>
  <si>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</si>
  <si>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</si>
  <si>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</si>
  <si>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</si>
  <si>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</si>
  <si>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</si>
  <si>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</si>
  <si>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</si>
  <si>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</si>
  <si>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</si>
  <si>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</si>
  <si>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</si>
  <si>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</si>
  <si>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</si>
  <si>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</si>
  <si>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</si>
  <si>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</si>
  <si>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</si>
  <si>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</si>
  <si>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</si>
  <si>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</si>
  <si>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</si>
  <si>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</si>
  <si>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</si>
  <si>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</si>
  <si>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</si>
  <si>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</si>
  <si>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</si>
  <si>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</si>
  <si>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</si>
  <si>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</si>
  <si>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</si>
  <si>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</si>
  <si>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</si>
  <si>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</si>
  <si>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</si>
  <si>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</si>
  <si>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</si>
  <si>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</si>
  <si>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</si>
  <si>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</si>
  <si>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</si>
  <si>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</si>
  <si>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</si>
  <si>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</si>
  <si>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</si>
  <si>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</si>
  <si>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</si>
  <si>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</si>
  <si>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</si>
  <si>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</si>
  <si>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</si>
  <si>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</si>
  <si>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</si>
  <si>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</si>
  <si>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</si>
  <si>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</si>
  <si>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</si>
  <si>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</si>
  <si>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</si>
  <si>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</si>
  <si>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</si>
  <si>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</si>
  <si>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</si>
  <si>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</si>
  <si>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</si>
  <si>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</si>
  <si>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</si>
  <si>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</si>
  <si>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</si>
  <si>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</si>
  <si>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</si>
  <si>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</si>
  <si>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</si>
  <si>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</si>
  <si>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</si>
  <si>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</si>
  <si>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</si>
  <si>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</si>
  <si>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</si>
  <si>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</si>
  <si>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</si>
  <si>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</si>
  <si>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</si>
  <si>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</si>
  <si>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</si>
  <si>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</si>
  <si>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</si>
  <si>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</si>
  <si>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</si>
  <si>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</si>
  <si>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</si>
  <si>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</si>
  <si>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</si>
  <si>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</si>
  <si>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</si>
  <si>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</si>
  <si>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</si>
  <si>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</si>
  <si>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</si>
  <si>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</si>
  <si>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</si>
  <si>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</si>
  <si>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</si>
  <si>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</si>
  <si>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</si>
  <si>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</si>
  <si>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</si>
  <si>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</si>
  <si>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</si>
  <si>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</si>
  <si>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</si>
  <si>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</si>
  <si>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</si>
  <si>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</si>
  <si>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</si>
  <si>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</si>
  <si>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</si>
  <si>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</si>
  <si>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</si>
  <si>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</si>
  <si>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</si>
  <si>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</si>
  <si>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</si>
  <si>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</si>
  <si>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</si>
  <si>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</si>
  <si>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</si>
  <si>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</si>
  <si>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</si>
  <si>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</si>
  <si>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</si>
  <si>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</si>
  <si>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</si>
  <si>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</si>
  <si>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</si>
  <si>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</si>
  <si>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</si>
  <si>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</si>
  <si>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</si>
  <si>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</si>
  <si>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</si>
  <si>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</si>
  <si>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</si>
  <si>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</si>
  <si>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</si>
  <si>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</si>
  <si>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</si>
  <si>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</si>
  <si>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</si>
  <si>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</si>
  <si>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</si>
  <si>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</si>
  <si>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</si>
  <si>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</si>
  <si>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</si>
  <si>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</si>
  <si>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</si>
  <si>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</si>
  <si>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</si>
  <si>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</si>
  <si>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</si>
  <si>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</si>
  <si>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</si>
  <si>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</si>
  <si>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</si>
  <si>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</si>
  <si>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</si>
  <si>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</si>
  <si>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</si>
  <si>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</si>
  <si>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</si>
  <si>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</si>
  <si>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</si>
  <si>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</si>
  <si>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</si>
  <si>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</si>
  <si>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</si>
  <si>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</si>
  <si>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</si>
  <si>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</si>
  <si>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</si>
  <si>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</si>
  <si>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</si>
  <si>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</si>
  <si>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</si>
  <si>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</si>
  <si>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</si>
  <si>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</si>
  <si>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</si>
  <si>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</si>
  <si>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</si>
  <si>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</si>
  <si>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</si>
  <si>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</si>
  <si>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</si>
  <si>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</si>
  <si>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</si>
  <si>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</si>
  <si>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</si>
  <si>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</si>
  <si>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</si>
  <si>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</si>
  <si>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</si>
  <si>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</si>
  <si>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</si>
  <si>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</si>
  <si>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</si>
  <si>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</si>
  <si>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</si>
  <si>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</si>
  <si>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</si>
  <si>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</si>
  <si>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</si>
  <si>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</si>
  <si>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</si>
  <si>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</si>
  <si>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</si>
  <si>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</si>
  <si>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</si>
  <si>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</si>
  <si>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</si>
  <si>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</si>
  <si>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</si>
  <si>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</si>
  <si>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</si>
  <si>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</si>
  <si>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</si>
  <si>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</si>
  <si>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</si>
  <si>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</si>
  <si>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</si>
  <si>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</si>
  <si>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</si>
  <si>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</si>
  <si>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</si>
  <si>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</si>
  <si>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</si>
  <si>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</si>
  <si>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</si>
  <si>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</si>
  <si>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</si>
  <si>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</si>
  <si>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</si>
  <si>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</si>
  <si>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</si>
  <si>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</si>
  <si>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</si>
  <si>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</si>
  <si>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</si>
  <si>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</si>
  <si>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</si>
  <si>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</si>
  <si>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</si>
  <si>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</si>
  <si>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</si>
  <si>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</si>
  <si>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</si>
  <si>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</si>
  <si>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</si>
  <si>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</si>
  <si>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</si>
  <si>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</si>
  <si>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</si>
  <si>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</si>
  <si>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</si>
  <si>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</si>
  <si>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</si>
  <si>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</si>
  <si>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</si>
  <si>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</si>
  <si>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</si>
  <si>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</si>
  <si>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</si>
  <si>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</si>
  <si>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</si>
  <si>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</si>
  <si>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</si>
  <si>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</si>
  <si>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</si>
  <si>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</si>
  <si>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</si>
  <si>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</si>
  <si>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</si>
  <si>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</si>
  <si>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</si>
  <si>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</si>
  <si>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</si>
  <si>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</si>
  <si>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</si>
  <si>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</si>
  <si>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</si>
  <si>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</si>
  <si>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</si>
  <si>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</si>
  <si>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</si>
  <si>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</si>
  <si>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</si>
  <si>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</si>
  <si>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</si>
  <si>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</si>
  <si>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</si>
  <si>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</si>
  <si>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</si>
  <si>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</si>
  <si>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</si>
  <si>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</si>
  <si>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</si>
  <si>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</si>
  <si>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</si>
  <si>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</si>
  <si>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</si>
  <si>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</si>
  <si>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</si>
  <si>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</si>
  <si>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</si>
  <si>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</si>
  <si>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</si>
  <si>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</si>
  <si>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</si>
  <si>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</si>
  <si>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</si>
  <si>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</si>
  <si>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</si>
  <si>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</si>
  <si>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</si>
  <si>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</si>
  <si>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</si>
  <si>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</si>
  <si>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</si>
  <si>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</si>
  <si>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</si>
  <si>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</si>
  <si>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</si>
  <si>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</si>
  <si>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</si>
  <si>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</si>
  <si>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</si>
  <si>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</si>
  <si>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</si>
  <si>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</si>
  <si>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</si>
  <si>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</si>
  <si>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</si>
  <si>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</si>
  <si>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</si>
  <si>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</si>
  <si>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</si>
  <si>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</si>
  <si>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</si>
  <si>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</si>
  <si>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</si>
  <si>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</si>
  <si>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</si>
  <si>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</si>
  <si>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</si>
  <si>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</si>
  <si>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</si>
  <si>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</si>
  <si>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</si>
  <si>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</si>
  <si>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</si>
  <si>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</si>
  <si>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</si>
  <si>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</si>
  <si>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</si>
  <si>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</si>
  <si>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</si>
  <si>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</si>
  <si>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</si>
  <si>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</si>
  <si>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</si>
  <si>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</si>
  <si>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</si>
  <si>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</si>
  <si>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</si>
  <si>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</si>
  <si>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</si>
  <si>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</si>
  <si>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</si>
  <si>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</si>
  <si>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</si>
  <si>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</si>
  <si>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</si>
  <si>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</si>
  <si>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</si>
  <si>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</si>
  <si>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</si>
  <si>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</si>
  <si>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</si>
  <si>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</si>
  <si>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</si>
  <si>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</si>
  <si>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</si>
  <si>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</si>
  <si>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</si>
  <si>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</si>
  <si>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</si>
  <si>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</si>
  <si>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</si>
  <si>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</si>
  <si>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</si>
  <si>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</si>
  <si>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</si>
  <si>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</si>
  <si>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</si>
  <si>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</si>
  <si>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</si>
  <si>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</si>
  <si>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</si>
  <si>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</si>
  <si>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</si>
  <si>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</si>
  <si>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</si>
  <si>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</si>
  <si>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</si>
  <si>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</si>
  <si>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</si>
  <si>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</si>
  <si>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</si>
  <si>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</si>
  <si>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</si>
  <si>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</si>
  <si>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</si>
  <si>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</si>
  <si>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</si>
  <si>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</si>
  <si>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</si>
  <si>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</si>
  <si>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</si>
  <si>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</si>
  <si>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</si>
  <si>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</si>
  <si>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</si>
  <si>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</si>
  <si>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</si>
  <si>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</si>
  <si>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</si>
  <si>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</si>
  <si>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</si>
  <si>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</si>
  <si>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</si>
  <si>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</si>
  <si>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</si>
  <si>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</si>
  <si>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</si>
  <si>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</si>
  <si>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</si>
  <si>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</si>
  <si>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</si>
  <si>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</si>
  <si>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</si>
  <si>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</si>
  <si>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</si>
  <si>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</si>
  <si>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</si>
  <si>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</si>
  <si>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</si>
  <si>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</si>
  <si>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</si>
  <si>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</si>
  <si>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</si>
  <si>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</si>
  <si>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</si>
  <si>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</si>
  <si>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</si>
  <si>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</si>
  <si>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</si>
  <si>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</si>
  <si>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</si>
  <si>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</si>
  <si>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</si>
  <si>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</si>
  <si>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</si>
  <si>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</si>
  <si>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</si>
  <si>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</si>
  <si>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</si>
  <si>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</si>
  <si>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</si>
  <si>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</si>
  <si>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</si>
  <si>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</si>
  <si>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</si>
  <si>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</si>
  <si>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</si>
  <si>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</si>
  <si>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</si>
  <si>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</si>
  <si>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</si>
  <si>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</si>
  <si>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</si>
  <si>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</si>
  <si>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</si>
  <si>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</si>
  <si>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</si>
  <si>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</si>
  <si>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</si>
  <si>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</si>
  <si>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</si>
  <si>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</si>
  <si>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</si>
  <si>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</si>
  <si>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</si>
  <si>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</si>
  <si>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</si>
  <si>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</si>
  <si>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</si>
  <si>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</si>
  <si>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</si>
  <si>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</si>
  <si>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</si>
  <si>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</si>
  <si>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</si>
  <si>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</si>
  <si>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</si>
  <si>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</si>
  <si>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</si>
  <si>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</si>
  <si>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</si>
  <si>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</si>
  <si>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</si>
  <si>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</si>
  <si>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</si>
  <si>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</si>
  <si>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</si>
  <si>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</si>
  <si>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</si>
  <si>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</si>
  <si>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</si>
  <si>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</si>
  <si>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</si>
  <si>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</si>
  <si>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</si>
  <si>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</si>
  <si>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</si>
  <si>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</si>
  <si>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</si>
  <si>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</si>
  <si>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</si>
  <si>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</si>
  <si>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</si>
  <si>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</si>
  <si>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</si>
  <si>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</si>
  <si>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</si>
  <si>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</si>
  <si>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</si>
  <si>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</si>
  <si>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</si>
  <si>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</si>
  <si>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</si>
  <si>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</si>
  <si>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</si>
  <si>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</si>
  <si>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</si>
  <si>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</si>
  <si>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</si>
  <si>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</si>
  <si>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</si>
  <si>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</si>
  <si>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</si>
  <si>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</si>
  <si>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</si>
  <si>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</si>
  <si>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</si>
  <si>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</si>
  <si>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</si>
  <si>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</si>
  <si>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</si>
  <si>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</si>
  <si>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</si>
  <si>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</si>
  <si>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</si>
  <si>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</si>
  <si>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</si>
  <si>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</si>
  <si>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</si>
  <si>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</si>
  <si>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</si>
  <si>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</si>
  <si>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</si>
  <si>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</si>
  <si>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</si>
  <si>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</si>
  <si>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</si>
  <si>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</si>
  <si>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</si>
  <si>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</si>
  <si>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</si>
  <si>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</si>
  <si>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</si>
  <si>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</si>
  <si>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</si>
  <si>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</si>
  <si>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</si>
  <si>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</si>
  <si>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</si>
  <si>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</si>
  <si>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</si>
  <si>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</si>
  <si>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</si>
  <si>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</si>
  <si>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</si>
  <si>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</si>
  <si>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</si>
  <si>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</si>
  <si>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</si>
  <si>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</si>
  <si>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</si>
  <si>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</si>
  <si>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</si>
  <si>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</si>
  <si>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</si>
  <si>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</si>
  <si>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</si>
  <si>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</si>
  <si>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</si>
  <si>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</si>
  <si>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</si>
  <si>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</si>
  <si>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</si>
  <si>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</si>
  <si>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</si>
  <si>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</si>
  <si>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</si>
  <si>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</si>
  <si>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</si>
  <si>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</si>
  <si>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</si>
  <si>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</si>
  <si>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</si>
  <si>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</si>
  <si>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</si>
  <si>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</si>
  <si>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</si>
  <si>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</si>
  <si>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</si>
  <si>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</si>
  <si>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</si>
  <si>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</si>
  <si>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</si>
  <si>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</si>
  <si>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</si>
  <si>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</si>
  <si>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</si>
  <si>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</si>
  <si>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</si>
  <si>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</si>
  <si>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</si>
  <si>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</si>
  <si>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</si>
  <si>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</si>
  <si>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</si>
  <si>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</si>
  <si>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</si>
  <si>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</si>
  <si>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</si>
  <si>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</si>
  <si>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</si>
  <si>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</si>
  <si>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</si>
  <si>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</si>
  <si>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</si>
  <si>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</si>
  <si>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</si>
  <si>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</si>
  <si>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</si>
  <si>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</si>
  <si>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</si>
  <si>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</si>
  <si>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</si>
  <si>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</si>
  <si>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</si>
  <si>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</si>
  <si>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</si>
  <si>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</si>
  <si>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</si>
  <si>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</si>
  <si>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</si>
  <si>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</si>
  <si>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</si>
  <si>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</si>
  <si>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</si>
  <si>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</si>
  <si>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</si>
  <si>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</si>
  <si>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</si>
  <si>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</si>
  <si>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</si>
  <si>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</si>
  <si>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</si>
  <si>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</si>
  <si>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</si>
  <si>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</si>
  <si>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</si>
  <si>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</si>
  <si>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</si>
  <si>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</si>
  <si>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</si>
  <si>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</si>
  <si>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</si>
  <si>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</si>
  <si>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</si>
  <si>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</si>
  <si>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</si>
  <si>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</si>
  <si>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</si>
  <si>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</si>
  <si>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</si>
  <si>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</si>
  <si>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</si>
  <si>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</si>
  <si>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</si>
  <si>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</si>
  <si>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</si>
  <si>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</si>
  <si>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</si>
  <si>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</si>
  <si>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</si>
  <si>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</si>
  <si>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</si>
  <si>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</si>
  <si>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</si>
  <si>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</si>
  <si>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</si>
  <si>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</si>
  <si>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</si>
  <si>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</si>
  <si>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</si>
  <si>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</si>
  <si>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</si>
  <si>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</si>
  <si>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</si>
  <si>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</si>
  <si>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</si>
  <si>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</si>
  <si>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</si>
  <si>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</si>
  <si>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</si>
  <si>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</si>
  <si>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</si>
  <si>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</si>
  <si>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</si>
  <si>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</si>
  <si>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</si>
  <si>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</si>
  <si>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</si>
  <si>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</si>
  <si>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</si>
  <si>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</si>
  <si>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</si>
  <si>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</si>
  <si>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</si>
  <si>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</si>
  <si>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</si>
  <si>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</si>
  <si>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</si>
  <si>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</si>
  <si>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</si>
  <si>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</si>
  <si>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</si>
  <si>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</si>
  <si>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</si>
  <si>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</si>
  <si>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</si>
  <si>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</si>
  <si>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</si>
  <si>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</si>
  <si>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</si>
  <si>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</si>
  <si>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</si>
  <si>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</si>
  <si>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</si>
  <si>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</si>
  <si>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</si>
  <si>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</si>
  <si>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</si>
  <si>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</si>
  <si>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</si>
  <si>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</si>
  <si>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</si>
  <si>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</si>
  <si>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</si>
  <si>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</si>
  <si>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</si>
  <si>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</si>
  <si>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</si>
  <si>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</si>
  <si>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</si>
  <si>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</si>
  <si>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</si>
  <si>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</si>
  <si>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</si>
  <si>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</si>
  <si>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</si>
  <si>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</si>
  <si>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</si>
  <si>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</si>
  <si>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</si>
  <si>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</si>
  <si>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</si>
  <si>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</si>
  <si>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</si>
  <si>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</si>
  <si>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</si>
  <si>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</si>
  <si>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</si>
  <si>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</si>
  <si>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</si>
  <si>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</si>
  <si>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</si>
  <si>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</si>
  <si>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</si>
  <si>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</si>
  <si>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</si>
  <si>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</si>
  <si>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</si>
  <si>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</si>
  <si>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</si>
  <si>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</si>
  <si>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</si>
  <si>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</si>
  <si>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</si>
  <si>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</si>
  <si>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</si>
  <si>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</si>
  <si>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</si>
  <si>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</si>
  <si>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</si>
  <si>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</si>
  <si>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</si>
  <si>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</si>
  <si>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</si>
  <si>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</si>
  <si>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</si>
  <si>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</si>
  <si>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</si>
  <si>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</si>
  <si>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</si>
  <si>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</si>
  <si>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</si>
  <si>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</si>
  <si>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</si>
  <si>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</si>
  <si>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</si>
  <si>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</si>
  <si>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</si>
  <si>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</si>
  <si>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</si>
  <si>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</si>
  <si>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</si>
  <si>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</si>
  <si>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</si>
  <si>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</si>
  <si>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</si>
  <si>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</si>
  <si>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</si>
  <si>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</si>
  <si>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</si>
  <si>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</si>
  <si>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</si>
  <si>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</si>
  <si>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</si>
  <si>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</si>
  <si>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</si>
  <si>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</si>
  <si>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</si>
  <si>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</si>
  <si>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</si>
  <si>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</si>
  <si>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</si>
  <si>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</si>
  <si>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</si>
  <si>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</si>
  <si>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</si>
  <si>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</si>
  <si>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</si>
  <si>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</si>
  <si>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</si>
  <si>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</si>
  <si>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</si>
  <si>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</si>
  <si>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</si>
  <si>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</si>
  <si>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</si>
  <si>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</si>
  <si>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</si>
  <si>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</si>
  <si>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</si>
  <si>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</si>
  <si>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</si>
  <si>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</si>
  <si>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</si>
  <si>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</si>
  <si>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</si>
  <si>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</si>
  <si>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</si>
  <si>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</si>
  <si>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</si>
  <si>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</si>
  <si>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</si>
  <si>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</si>
  <si>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</si>
  <si>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</si>
  <si>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</si>
  <si>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</si>
  <si>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</si>
  <si>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</si>
  <si>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</si>
  <si>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</si>
  <si>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</si>
  <si>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</si>
  <si>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</si>
  <si>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</si>
  <si>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</si>
  <si>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</si>
  <si>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</si>
  <si>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</si>
  <si>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</si>
  <si>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</si>
  <si>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</si>
  <si>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</si>
  <si>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</si>
  <si>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</si>
  <si>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</si>
  <si>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</si>
  <si>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</si>
  <si>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</si>
  <si>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</si>
  <si>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</si>
  <si>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</si>
  <si>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</si>
  <si>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</si>
  <si>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</si>
  <si>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</si>
  <si>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</si>
  <si>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</si>
  <si>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</si>
  <si>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</si>
  <si>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</si>
  <si>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</si>
  <si>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</si>
  <si>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</si>
  <si>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</si>
  <si>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</si>
  <si>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</si>
  <si>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</si>
  <si>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</si>
  <si>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</si>
  <si>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</si>
  <si>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</si>
  <si>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</si>
  <si>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</si>
  <si>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</si>
  <si>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</si>
  <si>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</si>
  <si>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</si>
  <si>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</si>
  <si>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</si>
  <si>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</si>
  <si>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</si>
  <si>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</si>
  <si>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</si>
  <si>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</si>
  <si>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</si>
  <si>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</si>
  <si>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</si>
  <si>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</si>
  <si>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</si>
  <si>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</si>
  <si>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</si>
  <si>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</si>
  <si>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</si>
  <si>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</si>
  <si>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</si>
  <si>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</si>
  <si>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</si>
  <si>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</si>
  <si>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</si>
  <si>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</si>
  <si>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</si>
  <si>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</si>
  <si>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</si>
  <si>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</si>
  <si>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</si>
  <si>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</si>
  <si>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</si>
  <si>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</si>
  <si>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</si>
  <si>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</si>
  <si>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</si>
  <si>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</si>
  <si>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</si>
  <si>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</si>
  <si>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</si>
  <si>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</si>
  <si>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</si>
  <si>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</si>
  <si>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</si>
  <si>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</si>
  <si>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</si>
  <si>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</si>
  <si>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</si>
  <si>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</si>
  <si>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</si>
  <si>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</si>
  <si>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</si>
  <si>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</si>
  <si>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</si>
  <si>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</si>
  <si>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</si>
  <si>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</si>
  <si>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</si>
  <si>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</si>
  <si>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</si>
  <si>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</si>
  <si>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</si>
  <si>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</si>
  <si>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</si>
  <si>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</si>
  <si>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</si>
  <si>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</si>
  <si>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</si>
  <si>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</si>
  <si>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</si>
  <si>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</si>
  <si>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</si>
  <si>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</si>
  <si>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</si>
  <si>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</si>
  <si>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</si>
  <si>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</si>
  <si>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</si>
  <si>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</si>
  <si>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</si>
  <si>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</si>
  <si>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</si>
  <si>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</si>
  <si>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</si>
  <si>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</si>
  <si>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</si>
  <si>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</si>
  <si>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</si>
  <si>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</si>
  <si>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</si>
  <si>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</si>
  <si>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</si>
  <si>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</si>
  <si>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</si>
  <si>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</si>
  <si>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</si>
  <si>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</si>
  <si>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</si>
  <si>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</si>
  <si>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</si>
  <si>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</si>
  <si>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</si>
  <si>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</si>
  <si>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</si>
  <si>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</si>
  <si>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</si>
  <si>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</si>
  <si>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</si>
  <si>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</si>
  <si>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</si>
  <si>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</si>
  <si>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</si>
  <si>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</si>
  <si>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</si>
  <si>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</si>
  <si>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</si>
  <si>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</si>
  <si>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</si>
  <si>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</si>
  <si>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</si>
  <si>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</si>
  <si>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</si>
  <si>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</si>
  <si>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</si>
  <si>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</si>
  <si>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</si>
  <si>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</si>
  <si>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</si>
  <si>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</si>
  <si>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</si>
  <si>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</si>
  <si>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</si>
  <si>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</si>
  <si>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</si>
  <si>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</si>
  <si>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</si>
  <si>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</si>
  <si>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</si>
  <si>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</si>
  <si>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</si>
  <si>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</si>
  <si>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</si>
  <si>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</si>
  <si>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</si>
  <si>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</si>
  <si>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</si>
  <si>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</si>
  <si>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</si>
  <si>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</si>
  <si>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</si>
  <si>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</si>
  <si>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</si>
  <si>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</si>
  <si>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</si>
  <si>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</si>
  <si>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</si>
  <si>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</si>
  <si>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</si>
  <si>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</si>
  <si>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</si>
  <si>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</si>
  <si>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</si>
  <si>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</si>
  <si>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</si>
  <si>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</si>
  <si>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</si>
  <si>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</si>
  <si>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</si>
  <si>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</si>
  <si>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</si>
  <si>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</si>
  <si>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</si>
  <si>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</si>
  <si>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</si>
  <si>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</si>
  <si>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</si>
  <si>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</si>
  <si>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</si>
  <si>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</si>
  <si>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</si>
  <si>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</si>
  <si>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</si>
  <si>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</si>
  <si>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</si>
  <si>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</si>
  <si>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</si>
  <si>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</si>
  <si>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</si>
  <si>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</si>
  <si>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</si>
  <si>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</si>
  <si>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</si>
  <si>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</si>
  <si>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</si>
  <si>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</si>
  <si>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</si>
  <si>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</si>
  <si>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</si>
  <si>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</si>
  <si>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</si>
  <si>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</si>
  <si>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</si>
  <si>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</si>
  <si>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</si>
  <si>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</si>
  <si>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</si>
  <si>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</si>
  <si>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</si>
  <si>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</si>
  <si>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</si>
  <si>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</si>
  <si>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</si>
  <si>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</si>
  <si>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</si>
  <si>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</si>
  <si>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</si>
  <si>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</si>
  <si>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</si>
  <si>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</si>
  <si>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</si>
  <si>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</si>
  <si>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</si>
  <si>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</si>
  <si>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</si>
  <si>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</si>
  <si>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</si>
  <si>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</si>
  <si>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</si>
  <si>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</si>
  <si>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</si>
  <si>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</si>
  <si>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</si>
  <si>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</si>
  <si>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</si>
  <si>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</si>
  <si>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</si>
  <si>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</si>
  <si>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</si>
  <si>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</si>
  <si>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</si>
  <si>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</si>
  <si>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</si>
  <si>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</si>
  <si>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</si>
  <si>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</si>
  <si>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</si>
  <si>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</si>
  <si>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</si>
  <si>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</si>
  <si>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</si>
  <si>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</si>
  <si>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</si>
  <si>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</si>
  <si>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</si>
  <si>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</si>
  <si>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</si>
  <si>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</si>
  <si>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</si>
  <si>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</si>
  <si>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</si>
  <si>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</si>
  <si>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</si>
  <si>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</si>
  <si>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</si>
  <si>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</si>
  <si>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</si>
  <si>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</si>
  <si>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</si>
  <si>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</si>
  <si>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</si>
  <si>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</si>
  <si>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</si>
  <si>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</si>
  <si>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</si>
  <si>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</si>
  <si>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</si>
  <si>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</si>
  <si>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</si>
  <si>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</si>
  <si>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</si>
  <si>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</si>
  <si>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</si>
  <si>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</si>
  <si>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</si>
  <si>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</si>
  <si>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</si>
  <si>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</si>
  <si>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</si>
  <si>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</si>
  <si>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</si>
  <si>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</si>
  <si>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</si>
  <si>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</si>
  <si>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</si>
  <si>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</si>
  <si>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</si>
  <si>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</si>
  <si>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</si>
  <si>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</si>
  <si>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</si>
  <si>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</si>
  <si>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</si>
  <si>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</si>
  <si>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</si>
  <si>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</si>
  <si>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</si>
  <si>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</si>
  <si>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</si>
  <si>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</si>
  <si>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</si>
  <si>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</si>
  <si>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</si>
  <si>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</si>
  <si>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</si>
  <si>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</si>
  <si>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</si>
  <si>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</si>
  <si>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</si>
  <si>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</si>
  <si>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</si>
  <si>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</si>
  <si>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</si>
  <si>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</si>
  <si>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</si>
  <si>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</si>
  <si>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</si>
  <si>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</si>
  <si>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</si>
  <si>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</si>
  <si>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</si>
  <si>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</si>
  <si>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</si>
  <si>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</si>
  <si>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</si>
  <si>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</si>
  <si>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</si>
  <si>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</si>
  <si>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</si>
  <si>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</si>
  <si>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</si>
  <si>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</si>
  <si>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</si>
  <si>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</si>
  <si>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</si>
  <si>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</si>
  <si>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</si>
  <si>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</si>
  <si>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</si>
  <si>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</si>
  <si>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</si>
  <si>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</si>
  <si>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</si>
  <si>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</si>
  <si>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</si>
  <si>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</si>
  <si>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</si>
  <si>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</si>
  <si>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</si>
  <si>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</si>
  <si>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</si>
  <si>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</si>
  <si>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</si>
  <si>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</si>
  <si>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</si>
  <si>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</si>
  <si>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</si>
  <si>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</si>
  <si>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</si>
  <si>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</si>
  <si>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</si>
  <si>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</si>
  <si>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</si>
  <si>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</si>
  <si>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</si>
  <si>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</si>
  <si>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</si>
  <si>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</si>
  <si>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</si>
  <si>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</si>
  <si>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</si>
  <si>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</si>
  <si>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</si>
  <si>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</si>
  <si>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</si>
  <si>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</si>
  <si>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</si>
  <si>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</si>
  <si>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</si>
  <si>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</si>
  <si>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</si>
  <si>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</si>
  <si>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</si>
  <si>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</si>
  <si>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</si>
  <si>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</si>
  <si>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</si>
  <si>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</si>
  <si>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</si>
  <si>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</si>
  <si>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</si>
  <si>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</si>
  <si>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</si>
  <si>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</si>
  <si>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</si>
  <si>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</si>
  <si>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</si>
  <si>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</si>
  <si>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</si>
  <si>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</si>
  <si>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</si>
  <si>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</si>
  <si>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</si>
  <si>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</si>
  <si>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</si>
  <si>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</si>
  <si>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</si>
  <si>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</si>
  <si>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</si>
  <si>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</si>
  <si>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</si>
  <si>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</si>
  <si>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</si>
  <si>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</si>
  <si>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</si>
  <si>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</si>
  <si>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</si>
  <si>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</si>
  <si>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</si>
  <si>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</si>
  <si>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</si>
  <si>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</si>
  <si>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</si>
  <si>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</si>
  <si>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</si>
  <si>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</si>
  <si>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</si>
  <si>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</si>
  <si>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</si>
  <si>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</si>
  <si>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</si>
  <si>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</si>
  <si>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</si>
  <si>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</si>
  <si>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</si>
  <si>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</si>
  <si>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</si>
  <si>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</si>
  <si>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</si>
  <si>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</si>
  <si>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</si>
  <si>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</si>
  <si>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</si>
  <si>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</si>
  <si>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</si>
  <si>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</si>
  <si>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</si>
  <si>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</si>
  <si>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</si>
  <si>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</si>
  <si>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</si>
  <si>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</si>
  <si>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</si>
  <si>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</si>
  <si>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</si>
  <si>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</si>
  <si>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</si>
  <si>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</si>
  <si>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</si>
  <si>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</si>
  <si>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</si>
  <si>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</si>
  <si>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</si>
  <si>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</si>
  <si>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</si>
  <si>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</si>
  <si>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</si>
  <si>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</si>
  <si>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</si>
  <si>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</si>
  <si>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</si>
  <si>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</si>
  <si>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</si>
  <si>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</si>
  <si>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</si>
  <si>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</si>
  <si>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</si>
  <si>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</si>
  <si>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</si>
  <si>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</si>
  <si>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</si>
  <si>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</si>
  <si>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</si>
  <si>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</si>
  <si>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</si>
  <si>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</si>
  <si>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</si>
  <si>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</si>
  <si>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</si>
  <si>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</si>
  <si>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</si>
  <si>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</si>
  <si>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</si>
  <si>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</si>
  <si>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</si>
  <si>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</si>
  <si>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</si>
  <si>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</si>
  <si>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</si>
  <si>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</si>
  <si>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</si>
  <si>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</si>
  <si>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</si>
  <si>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</si>
  <si>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</si>
  <si>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</si>
  <si>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</si>
  <si>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</si>
  <si>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</si>
  <si>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</si>
  <si>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</si>
  <si>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</si>
  <si>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</si>
  <si>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</si>
  <si>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</si>
  <si>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</si>
  <si>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</si>
  <si>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</si>
  <si>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</si>
  <si>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</si>
  <si>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</si>
  <si>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</si>
  <si>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</si>
  <si>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</si>
  <si>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</si>
  <si>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</si>
  <si>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</si>
  <si>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</si>
  <si>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</si>
  <si>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</si>
  <si>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</si>
  <si>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</si>
  <si>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</si>
  <si>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</si>
  <si>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</si>
  <si>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</si>
  <si>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</si>
  <si>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</si>
  <si>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</si>
  <si>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</si>
  <si>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</si>
  <si>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</si>
  <si>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</si>
  <si>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</si>
  <si>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</si>
  <si>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</si>
  <si>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</si>
  <si>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</si>
  <si>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</si>
  <si>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</si>
  <si>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</si>
  <si>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</si>
  <si>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</si>
  <si>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</si>
  <si>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</si>
  <si>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</si>
  <si>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</si>
  <si>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</si>
  <si>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</si>
  <si>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</si>
  <si>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</si>
  <si>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</si>
  <si>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</si>
  <si>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</si>
  <si>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</si>
  <si>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</si>
  <si>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</si>
  <si>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</si>
  <si>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</si>
  <si>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</si>
  <si>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</si>
  <si>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</si>
  <si>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</si>
  <si>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</si>
  <si>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</si>
  <si>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</si>
  <si>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</si>
  <si>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</si>
  <si>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</si>
  <si>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</si>
  <si>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</si>
  <si>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</si>
  <si>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</si>
  <si>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</si>
  <si>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</si>
  <si>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</si>
  <si>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</si>
  <si>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</si>
  <si>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</si>
  <si>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</si>
  <si>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</si>
  <si>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</si>
  <si>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</si>
  <si>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</si>
  <si>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</si>
  <si>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</si>
  <si>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</si>
  <si>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</si>
  <si>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</si>
  <si>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</si>
  <si>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</si>
  <si>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</si>
  <si>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</si>
  <si>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</si>
  <si>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</si>
  <si>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</si>
  <si>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</si>
  <si>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</si>
  <si>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</si>
  <si>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</si>
  <si>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</si>
  <si>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</si>
  <si>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</si>
  <si>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</si>
  <si>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</si>
  <si>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</si>
  <si>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</si>
  <si>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</si>
  <si>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</si>
  <si>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</si>
  <si>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</si>
  <si>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</si>
  <si>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</si>
  <si>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</si>
  <si>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</si>
  <si>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</si>
  <si>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</si>
  <si>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</si>
  <si>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</si>
  <si>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</si>
  <si>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</si>
  <si>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</si>
  <si>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</si>
  <si>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</si>
  <si>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</si>
  <si>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</si>
  <si>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</si>
  <si>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</si>
  <si>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</si>
  <si>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</si>
  <si>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</si>
  <si>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</si>
  <si>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</si>
  <si>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</si>
  <si>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</si>
  <si>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</si>
  <si>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</si>
  <si>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</si>
  <si>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</si>
  <si>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</si>
  <si>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</si>
  <si>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</si>
  <si>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</si>
  <si>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</si>
  <si>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</si>
  <si>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</si>
  <si>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</si>
  <si>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</si>
  <si>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</si>
  <si>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</si>
  <si>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</si>
  <si>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</si>
  <si>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</si>
  <si>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</si>
  <si>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</si>
  <si>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</si>
  <si>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</si>
  <si>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</si>
  <si>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</si>
  <si>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</si>
  <si>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</si>
  <si>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</si>
  <si>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</si>
  <si>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</si>
  <si>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</si>
  <si>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</si>
  <si>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</si>
  <si>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</si>
  <si>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</si>
  <si>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</si>
  <si>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</si>
  <si>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</si>
  <si>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</si>
  <si>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</si>
  <si>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</si>
  <si>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</si>
  <si>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</si>
  <si>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</si>
  <si>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</si>
  <si>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</si>
  <si>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</si>
  <si>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</si>
  <si>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</si>
  <si>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</si>
  <si>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</si>
  <si>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</si>
  <si>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</si>
  <si>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</si>
  <si>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</si>
  <si>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</si>
  <si>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</si>
  <si>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</si>
  <si>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</si>
  <si>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</si>
  <si>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</si>
  <si>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</si>
  <si>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</si>
  <si>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</si>
  <si>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</si>
  <si>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</si>
  <si>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</si>
  <si>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</si>
  <si>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</si>
  <si>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</si>
  <si>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</si>
  <si>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</si>
  <si>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</si>
  <si>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</si>
  <si>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</si>
  <si>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</si>
  <si>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</si>
  <si>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</si>
  <si>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</si>
  <si>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</si>
  <si>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</si>
  <si>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</si>
  <si>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</si>
  <si>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</si>
  <si>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</si>
  <si>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</si>
  <si>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</si>
  <si>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</si>
  <si>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</si>
  <si>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</si>
  <si>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</si>
  <si>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</si>
  <si>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</si>
  <si>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</si>
  <si>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</si>
  <si>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</si>
  <si>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</si>
  <si>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</si>
  <si>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</si>
  <si>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</si>
  <si>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</si>
  <si>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</si>
  <si>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</si>
  <si>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</si>
  <si>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</si>
  <si>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</si>
  <si>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</si>
  <si>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</si>
  <si>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</si>
  <si>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</si>
  <si>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</si>
  <si>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</si>
  <si>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</si>
  <si>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</si>
  <si>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</si>
  <si>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</si>
  <si>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</si>
  <si>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</si>
  <si>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</si>
  <si>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</si>
  <si>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</si>
  <si>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</si>
  <si>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</si>
  <si>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</si>
  <si>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</si>
  <si>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</si>
  <si>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</si>
  <si>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</si>
  <si>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</si>
  <si>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</si>
  <si>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</si>
  <si>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</si>
  <si>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</si>
  <si>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</si>
  <si>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</si>
  <si>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</si>
  <si>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</si>
  <si>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</si>
  <si>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</si>
  <si>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</si>
  <si>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</si>
  <si>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</si>
  <si>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</si>
  <si>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</si>
  <si>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</si>
  <si>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</si>
  <si>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</si>
  <si>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</si>
  <si>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</si>
  <si>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</si>
  <si>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</si>
  <si>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</si>
  <si>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</si>
  <si>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</si>
  <si>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</si>
  <si>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</si>
  <si>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</si>
  <si>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</si>
  <si>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</si>
  <si>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</si>
  <si>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</si>
  <si>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</si>
  <si>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</si>
  <si>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</si>
  <si>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</si>
  <si>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</si>
  <si>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</si>
  <si>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</si>
  <si>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</si>
  <si>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</si>
  <si>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</si>
  <si>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</si>
  <si>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</si>
  <si>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</si>
  <si>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</si>
  <si>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</si>
  <si>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</si>
  <si>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</si>
  <si>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</si>
  <si>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</si>
  <si>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</si>
  <si>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</si>
  <si>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</si>
  <si>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</si>
  <si>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</si>
  <si>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</si>
  <si>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</si>
  <si>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</si>
  <si>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</si>
  <si>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</si>
  <si>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</si>
  <si>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</si>
  <si>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</si>
  <si>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</si>
  <si>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</si>
  <si>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</si>
  <si>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</si>
  <si>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</si>
  <si>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</si>
  <si>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</si>
  <si>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</si>
  <si>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</si>
  <si>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</si>
  <si>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</si>
  <si>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</si>
  <si>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</si>
  <si>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</si>
  <si>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</si>
  <si>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</si>
  <si>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</si>
  <si>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</si>
  <si>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</si>
  <si>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</si>
  <si>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</si>
  <si>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</si>
  <si>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</si>
  <si>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</si>
  <si>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</si>
  <si>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</si>
  <si>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</si>
  <si>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</si>
  <si>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</si>
  <si>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</si>
  <si>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</si>
  <si>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</si>
  <si>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</si>
  <si>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</si>
  <si>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</si>
  <si>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</si>
  <si>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</si>
  <si>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</si>
  <si>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</si>
  <si>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</si>
  <si>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</si>
  <si>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</si>
  <si>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</si>
  <si>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</si>
  <si>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</si>
  <si>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</si>
  <si>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</si>
  <si>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</si>
  <si>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</si>
  <si>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</si>
  <si>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</si>
  <si>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</si>
  <si>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</si>
  <si>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</si>
  <si>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</si>
  <si>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</si>
  <si>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</si>
  <si>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</si>
  <si>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</si>
  <si>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</si>
  <si>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</si>
  <si>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</si>
  <si>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</si>
  <si>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</si>
  <si>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</si>
  <si>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</si>
  <si>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</si>
  <si>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</si>
  <si>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</si>
  <si>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</si>
  <si>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</si>
  <si>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</si>
  <si>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</si>
  <si>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</si>
  <si>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</si>
  <si>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</si>
  <si>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</si>
  <si>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</si>
  <si>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</si>
  <si>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</si>
  <si>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</si>
  <si>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</si>
  <si>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</si>
  <si>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</si>
  <si>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</si>
  <si>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</si>
  <si>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</si>
  <si>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</si>
  <si>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</si>
  <si>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</si>
  <si>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</si>
  <si>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</si>
  <si>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</si>
  <si>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</si>
  <si>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</si>
  <si>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</si>
  <si>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</si>
  <si>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</si>
  <si>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</si>
  <si>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</si>
  <si>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</si>
  <si>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</si>
  <si>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</si>
  <si>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</si>
  <si>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</si>
  <si>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</si>
  <si>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</si>
  <si>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</si>
  <si>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</si>
  <si>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</si>
  <si>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</si>
  <si>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</si>
  <si>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</si>
  <si>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</si>
  <si>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</si>
  <si>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</si>
  <si>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</si>
  <si>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</si>
  <si>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</si>
  <si>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</si>
  <si>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</si>
  <si>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</si>
  <si>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</si>
  <si>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</si>
  <si>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</si>
  <si>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</si>
  <si>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</si>
  <si>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</si>
  <si>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</si>
  <si>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</si>
  <si>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</si>
  <si>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</si>
  <si>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</si>
  <si>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</si>
  <si>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</si>
  <si>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</si>
  <si>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</si>
  <si>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</si>
  <si>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</si>
  <si>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</si>
  <si>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</si>
  <si>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</si>
  <si>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</si>
  <si>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</si>
  <si>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</si>
  <si>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</si>
  <si>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</si>
  <si>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</si>
  <si>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</si>
  <si>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</si>
  <si>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</si>
  <si>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</si>
  <si>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</si>
  <si>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</si>
  <si>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</si>
  <si>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</si>
  <si>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</si>
  <si>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</si>
  <si>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</si>
  <si>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</si>
  <si>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</si>
  <si>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</si>
  <si>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</si>
  <si>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</si>
  <si>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</si>
  <si>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</si>
  <si>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</si>
  <si>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</si>
  <si>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</si>
  <si>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</si>
  <si>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</si>
  <si>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</si>
  <si>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</si>
  <si>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</si>
  <si>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</si>
  <si>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</si>
  <si>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</si>
  <si>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</si>
  <si>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</si>
  <si>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</si>
  <si>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</si>
  <si>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</si>
  <si>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</si>
  <si>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</si>
  <si>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</si>
  <si>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</si>
  <si>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</si>
  <si>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</si>
  <si>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</si>
  <si>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</si>
  <si>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</si>
  <si>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</si>
  <si>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</si>
  <si>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</si>
  <si>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</si>
  <si>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</si>
  <si>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</si>
  <si>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</si>
  <si>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</si>
  <si>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</si>
  <si>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</si>
  <si>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</si>
  <si>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</si>
  <si>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</si>
  <si>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</si>
  <si>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</si>
  <si>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</si>
  <si>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</si>
  <si>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</si>
  <si>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</si>
  <si>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</si>
  <si>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</si>
  <si>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</si>
  <si>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</si>
  <si>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</si>
  <si>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</si>
  <si>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</si>
  <si>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</si>
  <si>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</si>
  <si>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</si>
  <si>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</si>
  <si>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</si>
  <si>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</si>
  <si>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</si>
  <si>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</si>
  <si>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</si>
  <si>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</si>
  <si>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</si>
  <si>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</si>
  <si>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</si>
  <si>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</si>
  <si>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</si>
  <si>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</si>
  <si>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</si>
  <si>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</si>
  <si>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</si>
  <si>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</si>
  <si>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</si>
  <si>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</si>
  <si>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</si>
  <si>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UKAD</t>
  </si>
  <si>
    <t>Production and sales of titanium semi-products</t>
  </si>
  <si>
    <t>263329946</t>
  </si>
  <si>
    <t>DUNS</t>
  </si>
  <si>
    <t>RD62- La Croix de Biolet, 63780 Saint Georges de Mons</t>
  </si>
  <si>
    <t>Laurence Vialatte</t>
  </si>
  <si>
    <t>laurence.vialatte@eramet-ukad.com</t>
  </si>
  <si>
    <t>+33 4 73 33 46 13</t>
  </si>
  <si>
    <t>Isabelle WIDMER</t>
  </si>
  <si>
    <t>Plant Manager</t>
  </si>
  <si>
    <t>isavbelle.widmer@eramet-ukad.com</t>
  </si>
  <si>
    <t>+33 4 73 33 46 40</t>
  </si>
  <si>
    <t>Purchasing Policy managed by Eramet Group; https://www.eramet.com/fr/groupe/engagement</t>
  </si>
  <si>
    <t>No need</t>
  </si>
  <si>
    <t xml:space="preserve"> Our direct suppliers are not using or producing 3TG.</t>
  </si>
  <si>
    <t>Group policy has to be applied by all suppliers.
All supplier has to be codified. Before codification an investigation his made by Purchasing Department to verify the conformity to Eramet conduct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</si>
</sst>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_€_-;\-* #,##0\ _€_-;_-* &quot;-&quot;\ _€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5" fontId="10" fillId="0" borderId="0" applyFont="0" applyFill="0" applyBorder="0" applyAlignment="0" applyProtection="0"/>
    <xf numFmtId="41"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4" fontId="10" fillId="0" borderId="0" applyFont="0" applyFill="0" applyBorder="0" applyAlignment="0" applyProtection="0"/>
    <xf numFmtId="171" fontId="10" fillId="0" borderId="0" applyFont="0" applyFill="0" applyBorder="0" applyAlignment="0" applyProtection="0"/>
    <xf numFmtId="42"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8" fontId="2" fillId="0" borderId="0"/>
    <xf numFmtId="0" fontId="90" fillId="0" borderId="0"/>
    <xf numFmtId="0" fontId="90" fillId="0" borderId="0"/>
    <xf numFmtId="168"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8" fontId="2" fillId="0" borderId="0"/>
    <xf numFmtId="0" fontId="7" fillId="0" borderId="0"/>
    <xf numFmtId="168" fontId="90" fillId="0" borderId="0"/>
    <xf numFmtId="0" fontId="55" fillId="0" borderId="0"/>
    <xf numFmtId="0" fontId="55" fillId="0" borderId="0"/>
    <xf numFmtId="168" fontId="7" fillId="0" borderId="0"/>
    <xf numFmtId="0" fontId="55" fillId="0" borderId="0"/>
    <xf numFmtId="0" fontId="7" fillId="0" borderId="0"/>
    <xf numFmtId="0" fontId="55" fillId="0" borderId="0"/>
    <xf numFmtId="0" fontId="72" fillId="0" borderId="0">
      <alignment vertical="center"/>
    </xf>
    <xf numFmtId="168"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8" fontId="2" fillId="0" borderId="0"/>
    <xf numFmtId="168"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8" fontId="10" fillId="0" borderId="0"/>
    <xf numFmtId="0" fontId="90" fillId="0" borderId="0"/>
    <xf numFmtId="0" fontId="90" fillId="0" borderId="0"/>
    <xf numFmtId="0" fontId="90" fillId="0" borderId="0"/>
    <xf numFmtId="168" fontId="90" fillId="0" borderId="0"/>
    <xf numFmtId="0" fontId="1" fillId="0" borderId="0"/>
  </cellStyleXfs>
  <cellXfs count="448">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8"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0"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8"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7"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0"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8" fontId="53" fillId="0" borderId="0" xfId="480" applyFont="1" applyFill="1" applyAlignment="1">
      <alignment horizontal="left" vertical="top" wrapText="1"/>
    </xf>
    <xf numFmtId="168"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8"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8"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8" fontId="53" fillId="0" borderId="0" xfId="480" applyFont="1" applyFill="1" applyBorder="1" applyAlignment="1">
      <alignment vertical="top" wrapText="1"/>
    </xf>
    <xf numFmtId="0" fontId="94" fillId="0" borderId="0" xfId="0" applyFont="1"/>
    <xf numFmtId="168"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8" fontId="25" fillId="33" borderId="48" xfId="570" applyNumberFormat="1" applyFont="1" applyFill="1" applyBorder="1" applyAlignment="1">
      <alignment horizontal="center" vertical="top" wrapText="1"/>
    </xf>
    <xf numFmtId="168" fontId="25" fillId="33" borderId="49" xfId="570" applyNumberFormat="1" applyFont="1" applyFill="1" applyBorder="1" applyAlignment="1">
      <alignment horizontal="center" vertical="top" wrapText="1"/>
    </xf>
    <xf numFmtId="168"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8" fontId="25" fillId="0" borderId="48" xfId="570" applyNumberFormat="1" applyFont="1" applyFill="1" applyBorder="1" applyAlignment="1">
      <alignment horizontal="center" vertical="top" wrapText="1"/>
    </xf>
    <xf numFmtId="168" fontId="25" fillId="0" borderId="49" xfId="570" applyNumberFormat="1" applyFont="1" applyFill="1" applyBorder="1" applyAlignment="1">
      <alignment horizontal="center" vertical="top" wrapText="1"/>
    </xf>
    <xf numFmtId="168"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15" fillId="33" borderId="37" xfId="0"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hidden="1"/>
    </xf>
    <xf numFmtId="49" fontId="15" fillId="33" borderId="27" xfId="0" applyNumberFormat="1" applyFont="1" applyFill="1" applyBorder="1" applyAlignment="1" applyProtection="1">
      <alignment horizontal="left" vertical="center" wrapText="1"/>
      <protection locked="0" hidden="1"/>
    </xf>
    <xf numFmtId="49" fontId="15" fillId="33" borderId="62" xfId="0" applyNumberFormat="1" applyFont="1" applyFill="1" applyBorder="1" applyAlignment="1" applyProtection="1">
      <alignment horizontal="left" vertical="center" wrapText="1"/>
      <protection locked="0" hidden="1"/>
    </xf>
    <xf numFmtId="0" fontId="15" fillId="33" borderId="61" xfId="0"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49" fontId="8" fillId="33" borderId="61" xfId="487" applyNumberFormat="1" applyFill="1" applyBorder="1" applyAlignment="1" applyProtection="1">
      <alignment horizontal="left" vertical="center" wrapText="1"/>
      <protection locked="0"/>
    </xf>
    <xf numFmtId="49" fontId="97" fillId="33" borderId="10" xfId="0" applyNumberFormat="1" applyFont="1" applyFill="1" applyBorder="1" applyAlignment="1" applyProtection="1">
      <alignment horizontal="left" vertical="center" wrapText="1"/>
      <protection locked="0"/>
    </xf>
    <xf numFmtId="49" fontId="97" fillId="33" borderId="37" xfId="0" applyNumberFormat="1" applyFont="1" applyFill="1" applyBorder="1" applyAlignment="1" applyProtection="1">
      <alignment horizontal="left" vertical="center" wrapText="1"/>
      <protection locked="0"/>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en hypertexte" xfId="487" builtinId="8"/>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00000000-0005-0000-0000-00003A020000}"/>
    <cellStyle name="Normal_Sheet1" xfId="570" xr:uid="{00000000-0005-0000-0000-00003B020000}"/>
    <cellStyle name="Note 2" xfId="571" xr:uid="{00000000-0005-0000-0000-00003C020000}"/>
    <cellStyle name="Output 2" xfId="572" xr:uid="{00000000-0005-0000-0000-00003D020000}"/>
    <cellStyle name="Percent 2" xfId="573" xr:uid="{00000000-0005-0000-0000-00003E020000}"/>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D020000}"/>
    <cellStyle name="一般 7" xfId="588" xr:uid="{00000000-0005-0000-0000-00004C020000}"/>
    <cellStyle name="標準 2" xfId="589" xr:uid="{00000000-0005-0000-0000-00004E020000}"/>
    <cellStyle name="標準 2 2" xfId="590" xr:uid="{00000000-0005-0000-0000-00004F020000}"/>
    <cellStyle name="標準 2 3" xfId="591" xr:uid="{00000000-0005-0000-0000-000050020000}"/>
  </cellStyles>
  <dxfs count="115">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aurence.vialatte@eramet-ukad.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isavbelle.widmer@eramet-ukad.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baseColWidth="10" defaultColWidth="9" defaultRowHeight="12.6"/>
  <cols>
    <col min="1" max="1" width="0.90625" style="113" customWidth="1"/>
    <col min="2" max="2" width="8" style="113" customWidth="1"/>
    <col min="3" max="3" width="8.6328125" style="113" customWidth="1"/>
    <col min="4" max="4" width="13" style="215"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7"/>
      <c r="E1" s="10"/>
      <c r="F1" s="10"/>
      <c r="G1" s="11"/>
    </row>
    <row r="2" spans="1:7">
      <c r="A2" s="351"/>
      <c r="B2" s="38" t="s">
        <v>870</v>
      </c>
      <c r="C2" s="36"/>
      <c r="D2" s="208"/>
      <c r="E2" s="3"/>
      <c r="F2" s="36"/>
      <c r="G2" s="34"/>
    </row>
    <row r="3" spans="1:7">
      <c r="A3" s="351"/>
      <c r="B3" s="5" t="s">
        <v>862</v>
      </c>
      <c r="C3" s="6"/>
      <c r="D3" s="209"/>
      <c r="E3" s="3"/>
      <c r="F3" s="6"/>
      <c r="G3" s="34"/>
    </row>
    <row r="4" spans="1:7" ht="15">
      <c r="A4" s="351"/>
      <c r="B4" s="41" t="s">
        <v>872</v>
      </c>
      <c r="C4" s="7"/>
      <c r="D4" s="210"/>
      <c r="E4" s="3"/>
      <c r="F4" s="7"/>
      <c r="G4" s="34"/>
    </row>
    <row r="5" spans="1:7" ht="13.2">
      <c r="A5" s="351"/>
      <c r="B5" s="40" t="s">
        <v>1063</v>
      </c>
      <c r="C5" s="4"/>
      <c r="D5" s="211"/>
      <c r="E5" s="3"/>
      <c r="F5" s="4"/>
      <c r="G5" s="34"/>
    </row>
    <row r="6" spans="1:7">
      <c r="A6" s="351"/>
      <c r="B6" s="8"/>
      <c r="C6" s="8"/>
      <c r="D6" s="212"/>
      <c r="E6" s="8"/>
      <c r="F6" s="8"/>
      <c r="G6" s="34"/>
    </row>
    <row r="7" spans="1:7">
      <c r="A7" s="351"/>
      <c r="B7" s="8"/>
      <c r="C7" s="8"/>
      <c r="D7" s="212"/>
      <c r="E7" s="8"/>
      <c r="F7" s="8"/>
      <c r="G7" s="34"/>
    </row>
    <row r="8" spans="1:7">
      <c r="A8" s="351"/>
      <c r="B8" s="8"/>
      <c r="C8" s="8"/>
      <c r="D8" s="212"/>
      <c r="E8" s="8"/>
      <c r="F8" s="8"/>
      <c r="G8" s="34"/>
    </row>
    <row r="9" spans="1:7">
      <c r="A9" s="351"/>
      <c r="B9" s="354" t="s">
        <v>873</v>
      </c>
      <c r="C9" s="354"/>
      <c r="D9" s="354"/>
      <c r="E9" s="354"/>
      <c r="F9" s="354"/>
      <c r="G9" s="34"/>
    </row>
    <row r="10" spans="1:7" ht="27" customHeight="1">
      <c r="A10" s="351"/>
      <c r="B10" s="355" t="s">
        <v>448</v>
      </c>
      <c r="C10" s="355"/>
      <c r="D10" s="355"/>
      <c r="E10" s="355"/>
      <c r="F10" s="355"/>
      <c r="G10" s="34"/>
    </row>
    <row r="11" spans="1:7" ht="27" customHeight="1">
      <c r="A11" s="351"/>
      <c r="B11" s="356"/>
      <c r="C11" s="356"/>
      <c r="D11" s="356"/>
      <c r="E11" s="356"/>
      <c r="F11" s="356"/>
      <c r="G11" s="34"/>
    </row>
    <row r="12" spans="1:7">
      <c r="A12" s="351"/>
      <c r="B12" s="42" t="s">
        <v>871</v>
      </c>
      <c r="C12" s="43" t="s">
        <v>874</v>
      </c>
      <c r="D12" s="213" t="s">
        <v>875</v>
      </c>
      <c r="E12" s="43" t="s">
        <v>628</v>
      </c>
      <c r="F12" s="43" t="s">
        <v>629</v>
      </c>
      <c r="G12" s="34"/>
    </row>
    <row r="13" spans="1:7" ht="20.399999999999999">
      <c r="A13" s="351"/>
      <c r="B13" s="2">
        <v>1</v>
      </c>
      <c r="C13" s="37" t="s">
        <v>1111</v>
      </c>
      <c r="D13" s="39" t="s">
        <v>899</v>
      </c>
      <c r="E13" s="196" t="s">
        <v>876</v>
      </c>
      <c r="F13" s="196"/>
      <c r="G13" s="34"/>
    </row>
    <row r="14" spans="1:7" ht="30.6">
      <c r="A14" s="351"/>
      <c r="B14" s="2">
        <v>2</v>
      </c>
      <c r="C14" s="37" t="s">
        <v>1111</v>
      </c>
      <c r="D14" s="39" t="s">
        <v>1048</v>
      </c>
      <c r="E14" s="196" t="s">
        <v>540</v>
      </c>
      <c r="F14" s="196" t="s">
        <v>541</v>
      </c>
      <c r="G14" s="34"/>
    </row>
    <row r="15" spans="1:7" ht="89.1" customHeight="1">
      <c r="A15" s="351"/>
      <c r="B15" s="357">
        <v>2.0099999999999998</v>
      </c>
      <c r="C15" s="348" t="s">
        <v>1111</v>
      </c>
      <c r="D15" s="360" t="s">
        <v>2358</v>
      </c>
      <c r="E15" s="197" t="s">
        <v>630</v>
      </c>
      <c r="F15" s="197" t="s">
        <v>633</v>
      </c>
      <c r="G15" s="34"/>
    </row>
    <row r="16" spans="1:7" ht="99" customHeight="1">
      <c r="A16" s="351"/>
      <c r="B16" s="358"/>
      <c r="C16" s="349"/>
      <c r="D16" s="361"/>
      <c r="E16" s="198"/>
      <c r="F16" s="198" t="s">
        <v>631</v>
      </c>
      <c r="G16" s="34"/>
    </row>
    <row r="17" spans="1:7" ht="63" customHeight="1">
      <c r="A17" s="351"/>
      <c r="B17" s="359"/>
      <c r="C17" s="350"/>
      <c r="D17" s="362"/>
      <c r="E17" s="37"/>
      <c r="F17" s="37" t="s">
        <v>632</v>
      </c>
      <c r="G17" s="34"/>
    </row>
    <row r="18" spans="1:7" ht="117" customHeight="1">
      <c r="A18" s="351"/>
      <c r="B18" s="357">
        <v>2.02</v>
      </c>
      <c r="C18" s="348" t="s">
        <v>1111</v>
      </c>
      <c r="D18" s="360" t="s">
        <v>2359</v>
      </c>
      <c r="E18" s="197" t="s">
        <v>449</v>
      </c>
      <c r="F18" s="197" t="s">
        <v>535</v>
      </c>
      <c r="G18" s="34"/>
    </row>
    <row r="19" spans="1:7" ht="71.099999999999994" customHeight="1">
      <c r="A19" s="351"/>
      <c r="B19" s="358"/>
      <c r="C19" s="349"/>
      <c r="D19" s="361"/>
      <c r="E19" s="198" t="s">
        <v>539</v>
      </c>
      <c r="F19" s="198" t="s">
        <v>450</v>
      </c>
      <c r="G19" s="34"/>
    </row>
    <row r="20" spans="1:7" ht="90.75" customHeight="1">
      <c r="A20" s="351"/>
      <c r="B20" s="358"/>
      <c r="C20" s="349"/>
      <c r="D20" s="361"/>
      <c r="E20" s="198"/>
      <c r="F20" s="198" t="s">
        <v>635</v>
      </c>
      <c r="G20" s="34"/>
    </row>
    <row r="21" spans="1:7" ht="74.25" customHeight="1">
      <c r="A21" s="351"/>
      <c r="B21" s="359"/>
      <c r="C21" s="350"/>
      <c r="D21" s="362"/>
      <c r="E21" s="37"/>
      <c r="F21" s="37" t="s">
        <v>634</v>
      </c>
      <c r="G21" s="34"/>
    </row>
    <row r="22" spans="1:7" ht="90" customHeight="1">
      <c r="A22" s="351"/>
      <c r="B22" s="366">
        <v>2.0299999999999998</v>
      </c>
      <c r="C22" s="366" t="s">
        <v>845</v>
      </c>
      <c r="D22" s="369" t="s">
        <v>2360</v>
      </c>
      <c r="E22" s="348" t="s">
        <v>447</v>
      </c>
      <c r="F22" s="197" t="s">
        <v>470</v>
      </c>
      <c r="G22" s="34"/>
    </row>
    <row r="23" spans="1:7" ht="109.5" customHeight="1">
      <c r="A23" s="351"/>
      <c r="B23" s="367"/>
      <c r="C23" s="367"/>
      <c r="D23" s="370"/>
      <c r="E23" s="349"/>
      <c r="F23" s="198" t="s">
        <v>846</v>
      </c>
      <c r="G23" s="34"/>
    </row>
    <row r="24" spans="1:7" ht="74.25" customHeight="1">
      <c r="A24" s="351"/>
      <c r="B24" s="368"/>
      <c r="C24" s="368"/>
      <c r="D24" s="371"/>
      <c r="E24" s="350"/>
      <c r="F24" s="37" t="s">
        <v>446</v>
      </c>
      <c r="G24" s="34"/>
    </row>
    <row r="25" spans="1:7" ht="72" customHeight="1">
      <c r="A25" s="351"/>
      <c r="B25" s="2" t="s">
        <v>468</v>
      </c>
      <c r="C25" s="37" t="s">
        <v>469</v>
      </c>
      <c r="D25" s="39" t="s">
        <v>2361</v>
      </c>
      <c r="E25" s="37" t="s">
        <v>2356</v>
      </c>
      <c r="F25" s="37" t="s">
        <v>471</v>
      </c>
      <c r="G25" s="34"/>
    </row>
    <row r="26" spans="1:7" ht="98.1" customHeight="1">
      <c r="A26" s="351"/>
      <c r="B26" s="363">
        <v>3</v>
      </c>
      <c r="C26" s="357" t="s">
        <v>72</v>
      </c>
      <c r="D26" s="360" t="s">
        <v>2362</v>
      </c>
      <c r="E26" s="348" t="s">
        <v>0</v>
      </c>
      <c r="F26" s="197" t="s">
        <v>66</v>
      </c>
      <c r="G26" s="34"/>
    </row>
    <row r="27" spans="1:7" ht="90" customHeight="1">
      <c r="A27" s="351"/>
      <c r="B27" s="364"/>
      <c r="C27" s="358"/>
      <c r="D27" s="361"/>
      <c r="E27" s="349"/>
      <c r="F27" s="198" t="s">
        <v>61</v>
      </c>
      <c r="G27" s="34"/>
    </row>
    <row r="28" spans="1:7" ht="19.350000000000001" customHeight="1">
      <c r="A28" s="351"/>
      <c r="B28" s="364"/>
      <c r="C28" s="358"/>
      <c r="D28" s="361"/>
      <c r="E28" s="349"/>
      <c r="F28" s="198" t="s">
        <v>62</v>
      </c>
      <c r="G28" s="34"/>
    </row>
    <row r="29" spans="1:7" ht="74.400000000000006" customHeight="1">
      <c r="A29" s="351"/>
      <c r="B29" s="364"/>
      <c r="C29" s="358"/>
      <c r="D29" s="361"/>
      <c r="E29" s="349"/>
      <c r="F29" s="198" t="s">
        <v>63</v>
      </c>
      <c r="G29" s="34"/>
    </row>
    <row r="30" spans="1:7" ht="62.4" customHeight="1">
      <c r="A30" s="351"/>
      <c r="B30" s="364"/>
      <c r="C30" s="358"/>
      <c r="D30" s="361"/>
      <c r="E30" s="349"/>
      <c r="F30" s="198" t="s">
        <v>64</v>
      </c>
      <c r="G30" s="34"/>
    </row>
    <row r="31" spans="1:7" ht="81" customHeight="1">
      <c r="A31" s="351"/>
      <c r="B31" s="364"/>
      <c r="C31" s="358"/>
      <c r="D31" s="361"/>
      <c r="E31" s="349"/>
      <c r="F31" s="198" t="s">
        <v>65</v>
      </c>
      <c r="G31" s="34"/>
    </row>
    <row r="32" spans="1:7" ht="48.75" customHeight="1">
      <c r="A32" s="351"/>
      <c r="B32" s="364"/>
      <c r="C32" s="358"/>
      <c r="D32" s="361"/>
      <c r="E32" s="349"/>
      <c r="F32" s="198" t="s">
        <v>68</v>
      </c>
      <c r="G32" s="34"/>
    </row>
    <row r="33" spans="1:7" ht="98.4" customHeight="1">
      <c r="A33" s="351"/>
      <c r="B33" s="364"/>
      <c r="C33" s="358"/>
      <c r="D33" s="361"/>
      <c r="E33" s="349"/>
      <c r="F33" s="198" t="s">
        <v>67</v>
      </c>
      <c r="G33" s="34"/>
    </row>
    <row r="34" spans="1:7" ht="89.1" customHeight="1">
      <c r="A34" s="351"/>
      <c r="B34" s="364"/>
      <c r="C34" s="358"/>
      <c r="D34" s="361"/>
      <c r="E34" s="349"/>
      <c r="F34" s="198" t="s">
        <v>69</v>
      </c>
      <c r="G34" s="34"/>
    </row>
    <row r="35" spans="1:7" ht="29.1" customHeight="1">
      <c r="A35" s="351"/>
      <c r="B35" s="364"/>
      <c r="C35" s="358"/>
      <c r="D35" s="361"/>
      <c r="E35" s="349"/>
      <c r="F35" s="198" t="s">
        <v>70</v>
      </c>
      <c r="G35" s="34"/>
    </row>
    <row r="36" spans="1:7" ht="112.2">
      <c r="A36" s="351"/>
      <c r="B36" s="365"/>
      <c r="C36" s="359"/>
      <c r="D36" s="362"/>
      <c r="E36" s="350"/>
      <c r="F36" s="199" t="s">
        <v>71</v>
      </c>
      <c r="G36" s="34"/>
    </row>
    <row r="37" spans="1:7" ht="102">
      <c r="A37" s="351"/>
      <c r="B37" s="171">
        <v>3.01</v>
      </c>
      <c r="C37" s="172" t="s">
        <v>72</v>
      </c>
      <c r="D37" s="39" t="s">
        <v>2363</v>
      </c>
      <c r="E37" s="200" t="s">
        <v>1351</v>
      </c>
      <c r="F37" s="201" t="s">
        <v>1457</v>
      </c>
      <c r="G37" s="34"/>
    </row>
    <row r="38" spans="1:7" ht="81.599999999999994">
      <c r="A38" s="351"/>
      <c r="B38" s="171">
        <v>3.02</v>
      </c>
      <c r="C38" s="172" t="s">
        <v>1384</v>
      </c>
      <c r="D38" s="39" t="s">
        <v>2364</v>
      </c>
      <c r="E38" s="200" t="s">
        <v>1399</v>
      </c>
      <c r="F38" s="201" t="s">
        <v>1458</v>
      </c>
      <c r="G38" s="34"/>
    </row>
    <row r="39" spans="1:7" ht="81.599999999999994">
      <c r="A39" s="351"/>
      <c r="B39" s="182">
        <v>4</v>
      </c>
      <c r="C39" s="181" t="s">
        <v>1554</v>
      </c>
      <c r="D39" s="39" t="s">
        <v>2365</v>
      </c>
      <c r="E39" s="37" t="s">
        <v>2307</v>
      </c>
      <c r="F39" s="37" t="s">
        <v>1555</v>
      </c>
      <c r="G39" s="34"/>
    </row>
    <row r="40" spans="1:7" ht="40.799999999999997">
      <c r="A40" s="351"/>
      <c r="B40" s="171">
        <v>4.01</v>
      </c>
      <c r="C40" s="181" t="s">
        <v>1554</v>
      </c>
      <c r="D40" s="39" t="s">
        <v>2367</v>
      </c>
      <c r="E40" s="37" t="s">
        <v>2321</v>
      </c>
      <c r="F40" s="37" t="s">
        <v>2326</v>
      </c>
      <c r="G40" s="34"/>
    </row>
    <row r="41" spans="1:7" ht="40.799999999999997">
      <c r="A41" s="351"/>
      <c r="B41" s="171" t="s">
        <v>2354</v>
      </c>
      <c r="C41" s="181" t="s">
        <v>1554</v>
      </c>
      <c r="D41" s="39" t="s">
        <v>2366</v>
      </c>
      <c r="E41" s="37" t="s">
        <v>2357</v>
      </c>
      <c r="F41" s="37" t="s">
        <v>2355</v>
      </c>
      <c r="G41" s="34"/>
    </row>
    <row r="42" spans="1:7" ht="40.799999999999997">
      <c r="A42" s="351"/>
      <c r="B42" s="171" t="s">
        <v>2399</v>
      </c>
      <c r="C42" s="181" t="s">
        <v>1554</v>
      </c>
      <c r="D42" s="39" t="s">
        <v>2406</v>
      </c>
      <c r="E42" s="37" t="s">
        <v>2356</v>
      </c>
      <c r="F42" s="37" t="s">
        <v>2400</v>
      </c>
      <c r="G42" s="34"/>
    </row>
    <row r="43" spans="1:7" ht="112.2">
      <c r="A43" s="351"/>
      <c r="B43" s="193">
        <v>4.0999999999999996</v>
      </c>
      <c r="C43" s="181" t="s">
        <v>2405</v>
      </c>
      <c r="D43" s="194">
        <v>42867</v>
      </c>
      <c r="E43" s="202" t="s">
        <v>2408</v>
      </c>
      <c r="F43" s="37" t="s">
        <v>2407</v>
      </c>
      <c r="G43" s="34"/>
    </row>
    <row r="44" spans="1:7" ht="71.400000000000006">
      <c r="A44" s="351"/>
      <c r="B44" s="193">
        <v>4.2</v>
      </c>
      <c r="C44" s="181" t="s">
        <v>2405</v>
      </c>
      <c r="D44" s="194">
        <v>42704</v>
      </c>
      <c r="E44" s="202" t="s">
        <v>2625</v>
      </c>
      <c r="F44" s="37" t="s">
        <v>2598</v>
      </c>
      <c r="G44" s="34"/>
    </row>
    <row r="45" spans="1:7" ht="132.6">
      <c r="A45" s="351"/>
      <c r="B45" s="243">
        <v>5</v>
      </c>
      <c r="C45" s="181" t="s">
        <v>2405</v>
      </c>
      <c r="D45" s="194">
        <v>42867</v>
      </c>
      <c r="E45" s="202" t="s">
        <v>13032</v>
      </c>
      <c r="F45" s="37" t="s">
        <v>12754</v>
      </c>
      <c r="G45" s="34"/>
    </row>
    <row r="46" spans="1:7" ht="30.6">
      <c r="A46" s="351"/>
      <c r="B46" s="193">
        <v>5.01</v>
      </c>
      <c r="C46" s="181" t="s">
        <v>2405</v>
      </c>
      <c r="D46" s="194">
        <v>42907</v>
      </c>
      <c r="E46" s="202" t="s">
        <v>13052</v>
      </c>
      <c r="F46" s="37" t="s">
        <v>12754</v>
      </c>
      <c r="G46" s="34"/>
    </row>
    <row r="47" spans="1:7" ht="61.2">
      <c r="A47" s="351"/>
      <c r="B47" s="193">
        <v>5.0999999999999996</v>
      </c>
      <c r="C47" s="181" t="s">
        <v>2405</v>
      </c>
      <c r="D47" s="194">
        <v>43070</v>
      </c>
      <c r="E47" s="202" t="s">
        <v>13247</v>
      </c>
      <c r="F47" s="37" t="s">
        <v>13248</v>
      </c>
      <c r="G47" s="34"/>
    </row>
    <row r="48" spans="1:7" ht="51">
      <c r="A48" s="351"/>
      <c r="B48" s="193">
        <v>5.1100000000000003</v>
      </c>
      <c r="C48" s="181" t="s">
        <v>13489</v>
      </c>
      <c r="D48" s="194">
        <v>43217</v>
      </c>
      <c r="E48" s="202" t="s">
        <v>13617</v>
      </c>
      <c r="F48" s="37" t="s">
        <v>13523</v>
      </c>
      <c r="G48" s="34"/>
    </row>
    <row r="49" spans="1:7" ht="51">
      <c r="A49" s="351"/>
      <c r="B49" s="193">
        <v>5.12</v>
      </c>
      <c r="C49" s="181" t="s">
        <v>13489</v>
      </c>
      <c r="D49" s="194">
        <v>43581</v>
      </c>
      <c r="E49" s="202" t="s">
        <v>13617</v>
      </c>
      <c r="F49" s="37" t="s">
        <v>14191</v>
      </c>
      <c r="G49" s="34"/>
    </row>
    <row r="50" spans="1:7" ht="71.400000000000006">
      <c r="A50" s="351"/>
      <c r="B50" s="243">
        <v>6</v>
      </c>
      <c r="C50" s="181" t="s">
        <v>13489</v>
      </c>
      <c r="D50" s="194">
        <v>43964</v>
      </c>
      <c r="E50" s="202" t="s">
        <v>14433</v>
      </c>
      <c r="F50" s="37" t="s">
        <v>14204</v>
      </c>
      <c r="G50" s="34"/>
    </row>
    <row r="51" spans="1:7" ht="40.799999999999997">
      <c r="A51" s="351"/>
      <c r="B51" s="193">
        <v>6.01</v>
      </c>
      <c r="C51" s="181" t="s">
        <v>13489</v>
      </c>
      <c r="D51" s="194">
        <v>43970</v>
      </c>
      <c r="E51" s="202" t="s">
        <v>15503</v>
      </c>
      <c r="F51" s="202" t="s">
        <v>14204</v>
      </c>
      <c r="G51" s="34"/>
    </row>
    <row r="52" spans="1:7" ht="13.2" thickBot="1">
      <c r="A52" s="352"/>
      <c r="B52" s="353" t="str">
        <f ca="1">OFFSET(L!$C$1,MATCH("General"&amp;"Cpy",L!$A:$A,0)-1,SL,,)</f>
        <v>© 2020 Responsible Minerals Initiative. All rights reserved.</v>
      </c>
      <c r="C52" s="353"/>
      <c r="D52" s="353"/>
      <c r="E52" s="353"/>
      <c r="F52" s="353"/>
      <c r="G52" s="35"/>
    </row>
    <row r="53" spans="1:7" ht="13.2"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baseColWidth="10" defaultColWidth="8.90625" defaultRowHeight="12.6"/>
  <cols>
    <col min="1" max="1" width="11.08984375" customWidth="1"/>
    <col min="2" max="2" width="25.72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10" zoomScalePageLayoutView="60" workbookViewId="0">
      <selection activeCell="A20" sqref="A20"/>
    </sheetView>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2.4">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6.2">
      <c r="A5" s="125"/>
      <c r="B5" s="114"/>
    </row>
    <row r="6" spans="1:2" ht="32.4">
      <c r="A6" s="124" t="str">
        <f ca="1">OFFSET(L!$C$1,MATCH("Instructions"&amp;ADDRESS(ROW(),COLUMN(),4),L!$A:$A,0)-1,SL,,)</f>
        <v>Instructions for completing Company Information questions (rows 8 - 22).
Provide comments in ENGLISH only</v>
      </c>
      <c r="B6" s="114" t="s">
        <v>1327</v>
      </c>
    </row>
    <row r="7" spans="1:2" ht="16.2">
      <c r="A7" s="294"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09.89999999999998"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6.2">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1327</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1327</v>
      </c>
    </row>
    <row r="24" spans="1:2" ht="64.8">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4.8">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2.4">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6.2">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4.8">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6.2">
      <c r="A47" s="125"/>
      <c r="B47" s="114"/>
    </row>
    <row r="48" spans="1:2" ht="32.4">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2.4">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6.2">
      <c r="A52" s="121" t="str">
        <f ca="1">OFFSET(L!$C$1,MATCH("Instructions"&amp;ADDRESS(ROW(),COLUMN(),4),L!$A:$A,0)-1,SL,,)</f>
        <v>2. Metal (*)   -   Use the pull down menu to select the metal for which you are entering smelter information.  This field is mandatory.</v>
      </c>
      <c r="B52" s="114"/>
    </row>
    <row r="53" spans="1:2" ht="64.8">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4.8">
      <c r="A58" s="121" t="str">
        <f ca="1">OFFSET(L!$C$1,MATCH("Instructions"&amp;ADDRESS(ROW(),COLUMN(),4),L!$A:$A,0)-1,SL,,)</f>
        <v>8. Smelter Street -  Provide the street name on which the smelter is located. This field is optional.</v>
      </c>
      <c r="B58" s="114" t="s">
        <v>1326</v>
      </c>
    </row>
    <row r="59" spans="1:2" ht="32.4">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8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7.2">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7.2">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64.8">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9.6">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81">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2.4">
      <c r="A74" s="121"/>
      <c r="B74" s="114" t="s">
        <v>451</v>
      </c>
    </row>
    <row r="75" spans="1:2" ht="16.2">
      <c r="A75" s="121" t="str">
        <f ca="1">OFFSET(L!$C$1,MATCH("General"&amp;"Cpy",L!$A:$A,0)-1,SL,,)</f>
        <v>© 2020 Responsible Minerals Initiative. All rights reserved.</v>
      </c>
      <c r="B75" s="115"/>
    </row>
    <row r="76" spans="1:2" ht="16.2">
      <c r="A76" s="122" t="s">
        <v>1058</v>
      </c>
      <c r="B76" s="115"/>
    </row>
    <row r="77" spans="1:2" ht="16.8"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13.4">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8.6">
      <c r="A10" s="87"/>
      <c r="B10" s="74" t="str">
        <f ca="1">OFFSET(L!$C$1,MATCH("Definitions"&amp;ADDRESS(ROW(),COLUMN(),4),L!$A:$A,0)-1,SL,,)</f>
        <v>DRC</v>
      </c>
      <c r="C10" s="74" t="str">
        <f ca="1">OFFSET(L!$C$1,MATCH("Definitions"&amp;ADDRESS(ROW(),COLUMN(),4),L!$A:$A,0)-1,SL,,)</f>
        <v>Democratic Republic of Congo</v>
      </c>
      <c r="D10" s="376"/>
      <c r="E10" s="128" t="s">
        <v>1335</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29.6">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78.2">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6.2">
      <c r="A19" s="87"/>
      <c r="B19" s="74" t="str">
        <f ca="1">OFFSET(L!$C$1,MATCH("Definitions"&amp;ADDRESS(ROW(),COLUMN(),4),L!$A:$A,0)-1,SL,,)</f>
        <v>OECD</v>
      </c>
      <c r="C19" s="74" t="str">
        <f ca="1">OFFSET(L!$C$1,MATCH("Definitions"&amp;ADDRESS(ROW(),COLUMN(),4),L!$A:$A,0)-1,SL,,)</f>
        <v>Organisation for Economic Co-operation and Development</v>
      </c>
      <c r="D19" s="376"/>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6.2">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45.8000000000000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81">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64.8">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6.2">
      <c r="A32" s="87"/>
      <c r="B32" s="375" t="str">
        <f ca="1">OFFSET(L!$C$1,MATCH("General"&amp;"Cpy",L!$A:$A,0)-1,SL,,)</f>
        <v>© 2020 Responsible Minerals Initiative. All rights reserved.</v>
      </c>
      <c r="C32" s="375"/>
      <c r="D32" s="376"/>
      <c r="E32" s="128"/>
    </row>
    <row r="33" spans="1:4" ht="13.2" thickBot="1">
      <c r="A33" s="88"/>
      <c r="B33" s="185"/>
      <c r="C33" s="185"/>
      <c r="D33" s="377"/>
    </row>
    <row r="34" spans="1:4" ht="13.2"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opLeftCell="A68" zoomScale="80" zoomScaleNormal="80" zoomScalePageLayoutView="70" workbookViewId="0">
      <selection activeCell="E112" sqref="E112"/>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395"/>
      <c r="B1" s="396"/>
      <c r="C1" s="396"/>
      <c r="D1" s="396"/>
      <c r="E1" s="396"/>
      <c r="F1" s="396"/>
      <c r="G1" s="396"/>
      <c r="H1" s="396"/>
      <c r="I1" s="396"/>
      <c r="J1" s="396"/>
      <c r="K1" s="397"/>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398" t="str">
        <f ca="1">OFFSET(L!$C$1,MATCH("Declaration"&amp;ADDRESS(ROW(),COLUMN(),4),L!$A:$A,0)-1,SL,,)</f>
        <v>Conflict Minerals Reporting Template (CMRT)</v>
      </c>
      <c r="E2" s="399"/>
      <c r="F2" s="399"/>
      <c r="G2" s="399"/>
      <c r="H2" s="399"/>
      <c r="I2" s="399"/>
      <c r="J2" s="400"/>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2"/>
      <c r="G3" s="412"/>
      <c r="H3" s="412"/>
      <c r="I3" s="184"/>
      <c r="J3" s="168" t="s">
        <v>15505</v>
      </c>
      <c r="K3" s="47"/>
      <c r="L3" s="139"/>
      <c r="M3" s="130"/>
      <c r="N3" s="130"/>
      <c r="O3" s="131"/>
      <c r="P3" s="144">
        <f>MATCH($D$3,LN,0)</f>
        <v>1</v>
      </c>
    </row>
    <row r="4" spans="1:34" ht="16.2">
      <c r="A4" s="45"/>
      <c r="B4" s="405" t="str">
        <f ca="1">OFFSET(L!$C$1,MATCH("Declaration"&amp;ADDRESS(ROW(),COLUMN(),4),L!$A:$A,0)-1,SL,,)</f>
        <v>The purpose of this document is to collect sourcing information on tin, tantalum, tungsten and gold used in products</v>
      </c>
      <c r="C4" s="405"/>
      <c r="D4" s="405"/>
      <c r="E4" s="405"/>
      <c r="F4" s="405"/>
      <c r="G4" s="405"/>
      <c r="H4" s="405"/>
      <c r="I4" s="413" t="str">
        <f ca="1">OFFSET(L!$C$1,MATCH("Declaration"&amp;ADDRESS(ROW(),COLUMN(),4),L!$A:$A,0)-1,SL,,)</f>
        <v>Link to Terms &amp; Conditions</v>
      </c>
      <c r="J4" s="413"/>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05" t="str">
        <f ca="1">OFFSET(L!$C$1,MATCH("Declaration"&amp;ADDRESS(ROW(),COLUMN(),4),L!$A:$A,0)-1,SL,,)</f>
        <v>Mandatory fields are noted with an asterisk (*).  Consult the instructions tab for guidance on how to answer each question.</v>
      </c>
      <c r="C6" s="405"/>
      <c r="D6" s="405"/>
      <c r="E6" s="405"/>
      <c r="F6" s="405"/>
      <c r="G6" s="405"/>
      <c r="H6" s="405"/>
      <c r="I6" s="405"/>
      <c r="J6" s="405"/>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6.2">
      <c r="A7" s="45"/>
      <c r="B7" s="417" t="str">
        <f ca="1">OFFSET(L!$C$1,MATCH("Declaration"&amp;ADDRESS(ROW(),COLUMN(),4),L!$A:$A,0)-1,SL,,)</f>
        <v>Company Information</v>
      </c>
      <c r="C7" s="417"/>
      <c r="D7" s="417"/>
      <c r="E7" s="417"/>
      <c r="F7" s="417"/>
      <c r="G7" s="417"/>
      <c r="H7" s="417"/>
      <c r="I7" s="417"/>
      <c r="J7" s="417"/>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01" t="s">
        <v>15506</v>
      </c>
      <c r="E8" s="402"/>
      <c r="F8" s="402"/>
      <c r="G8" s="402"/>
      <c r="H8" s="402"/>
      <c r="I8" s="402"/>
      <c r="J8" s="403"/>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14" t="s">
        <v>504</v>
      </c>
      <c r="E9" s="415"/>
      <c r="F9" s="415"/>
      <c r="G9" s="41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 customHeight="1">
      <c r="A10" s="49"/>
      <c r="B10" s="418" t="str">
        <f ca="1">OFFSET(L!$C$1,MATCH("Declaration"&amp;ADDRESS(ROW(),COLUMN(),4)&amp;LEFT($D$9,1),L!$A:$A,0)-1,SL,,)</f>
        <v>Description of Scope:</v>
      </c>
      <c r="C10" s="151"/>
      <c r="D10" s="406" t="s">
        <v>15507</v>
      </c>
      <c r="E10" s="407"/>
      <c r="F10" s="407"/>
      <c r="G10" s="407"/>
      <c r="H10" s="407"/>
      <c r="I10" s="407"/>
      <c r="J10" s="408"/>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19"/>
      <c r="C11" s="151"/>
      <c r="D11" s="425" t="str">
        <f ca="1">IF(D9=Q9,OFFSET(L!$C$1,MATCH("Declaration"&amp;ADDRESS(ROW(),COLUMN(),4),L!$A:$A,0)-1,SL,,),"")</f>
        <v/>
      </c>
      <c r="E11" s="426"/>
      <c r="F11" s="426"/>
      <c r="G11" s="426"/>
      <c r="H11" s="426"/>
      <c r="I11" s="426"/>
      <c r="J11" s="427"/>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09" t="s">
        <v>15508</v>
      </c>
      <c r="E12" s="410"/>
      <c r="F12" s="410"/>
      <c r="G12" s="410"/>
      <c r="H12" s="410"/>
      <c r="I12" s="410"/>
      <c r="J12" s="411"/>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09" t="s">
        <v>15509</v>
      </c>
      <c r="E13" s="410"/>
      <c r="F13" s="410"/>
      <c r="G13" s="410"/>
      <c r="H13" s="410"/>
      <c r="I13" s="410"/>
      <c r="J13" s="411"/>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09" t="s">
        <v>15510</v>
      </c>
      <c r="E14" s="410"/>
      <c r="F14" s="410"/>
      <c r="G14" s="410"/>
      <c r="H14" s="410"/>
      <c r="I14" s="410"/>
      <c r="J14" s="411"/>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09" t="s">
        <v>15511</v>
      </c>
      <c r="E15" s="410"/>
      <c r="F15" s="410"/>
      <c r="G15" s="410"/>
      <c r="H15" s="410"/>
      <c r="I15" s="410"/>
      <c r="J15" s="411"/>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45" t="s">
        <v>15512</v>
      </c>
      <c r="E16" s="446"/>
      <c r="F16" s="446"/>
      <c r="G16" s="446"/>
      <c r="H16" s="446"/>
      <c r="I16" s="446"/>
      <c r="J16" s="44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09" t="s">
        <v>15513</v>
      </c>
      <c r="E17" s="410"/>
      <c r="F17" s="410"/>
      <c r="G17" s="410"/>
      <c r="H17" s="410"/>
      <c r="I17" s="410"/>
      <c r="J17" s="411"/>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09" t="s">
        <v>15514</v>
      </c>
      <c r="E18" s="410"/>
      <c r="F18" s="410"/>
      <c r="G18" s="410"/>
      <c r="H18" s="410"/>
      <c r="I18" s="410"/>
      <c r="J18" s="411"/>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09" t="s">
        <v>15515</v>
      </c>
      <c r="E19" s="410"/>
      <c r="F19" s="410"/>
      <c r="G19" s="410"/>
      <c r="H19" s="410"/>
      <c r="I19" s="410"/>
      <c r="J19" s="411"/>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45" t="s">
        <v>15516</v>
      </c>
      <c r="E20" s="446"/>
      <c r="F20" s="446"/>
      <c r="G20" s="446"/>
      <c r="H20" s="446"/>
      <c r="I20" s="446"/>
      <c r="J20" s="44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3"/>
      <c r="D21" s="409" t="s">
        <v>15517</v>
      </c>
      <c r="E21" s="410"/>
      <c r="F21" s="410"/>
      <c r="G21" s="410"/>
      <c r="H21" s="410"/>
      <c r="I21" s="410"/>
      <c r="J21" s="411"/>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386">
        <v>44027</v>
      </c>
      <c r="E22" s="387"/>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22"/>
      <c r="E23" s="422"/>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388" t="str">
        <f ca="1">OFFSET(L!$C$1,MATCH("Declaration"&amp;ADDRESS(ROW(),COLUMN(),4),L!$A:$A,0)-1,SL,,)</f>
        <v>Answer the following questions 1 - 8 based on the declaration scope indicated above</v>
      </c>
      <c r="C24" s="388"/>
      <c r="D24" s="388"/>
      <c r="E24" s="388"/>
      <c r="F24" s="388"/>
      <c r="G24" s="388"/>
      <c r="H24" s="388"/>
      <c r="I24" s="388"/>
      <c r="J24" s="388"/>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 r="A25" s="52"/>
      <c r="B25" s="55" t="str">
        <f ca="1">OFFSET(L!$C$1,MATCH("Declaration"&amp;ADDRESS(ROW(),COLUMN(),4),L!$A:$A,0)-1,SL,,)</f>
        <v>1) Is any 3TG intentionally added or used in the product(s) or in the production process? (*)</v>
      </c>
      <c r="C25" s="20"/>
      <c r="D25" s="423" t="str">
        <f ca="1">OFFSET(L!$C$1,MATCH("Declaration"&amp;ADDRESS(ROW(),COLUMN(),4),L!$A:$A,0)-1,SL,,)</f>
        <v>Answer</v>
      </c>
      <c r="E25" s="423"/>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 xml:space="preserve">Tin  </v>
      </c>
      <c r="C27" s="46"/>
      <c r="D27" s="378" t="s">
        <v>499</v>
      </c>
      <c r="E27" s="379"/>
      <c r="F27" s="15"/>
      <c r="G27" s="380"/>
      <c r="H27" s="381"/>
      <c r="I27" s="381"/>
      <c r="J27" s="382"/>
      <c r="K27" s="47"/>
      <c r="L27" s="142"/>
      <c r="M27" s="130"/>
      <c r="N27" s="130"/>
      <c r="O27" s="130"/>
      <c r="P27" s="144" t="str">
        <f>IF(D$27="No","","(*)")</f>
        <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 xml:space="preserve">Gold  </v>
      </c>
      <c r="C28" s="46"/>
      <c r="D28" s="378" t="s">
        <v>499</v>
      </c>
      <c r="E28" s="379"/>
      <c r="F28" s="15"/>
      <c r="G28" s="380"/>
      <c r="H28" s="381"/>
      <c r="I28" s="381"/>
      <c r="J28" s="382"/>
      <c r="K28" s="47"/>
      <c r="L28" s="142"/>
      <c r="M28" s="130"/>
      <c r="N28" s="130"/>
      <c r="O28" s="130"/>
      <c r="P28" s="144" t="str">
        <f>IF(D$28="No","","(*)")</f>
        <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 customHeight="1">
      <c r="A31" s="52"/>
      <c r="B31" s="55" t="str">
        <f ca="1">OFFSET(L!$C$1,MATCH("Declaration"&amp;ADDRESS(ROW(),COLUMN(),4),L!$A:$A,0)-1,SL,,)&amp;Q$37</f>
        <v>2) Does any 3TG remain in the product(s)?</v>
      </c>
      <c r="C31" s="13"/>
      <c r="D31" s="385" t="str">
        <f ca="1">D25</f>
        <v>Answer</v>
      </c>
      <c r="E31" s="385"/>
      <c r="F31" s="21"/>
      <c r="G31" s="55" t="str">
        <f ca="1">G25</f>
        <v>Comments</v>
      </c>
      <c r="H31" s="55"/>
      <c r="I31" s="55"/>
      <c r="J31" s="96"/>
      <c r="K31" s="47"/>
      <c r="L31" s="136" t="s">
        <v>1266</v>
      </c>
      <c r="M31" s="130"/>
      <c r="N31" s="130"/>
      <c r="O31" s="131"/>
      <c r="P31" s="56">
        <f>COUNTIF(D$26:D$29,"No")</f>
        <v>4</v>
      </c>
      <c r="Q31" s="56" t="str">
        <f>IF(P31=4,""," (*)")</f>
        <v/>
      </c>
      <c r="R31" s="12"/>
      <c r="S31" s="12"/>
      <c r="T31" s="12"/>
      <c r="U31" s="12"/>
      <c r="V31" s="12"/>
      <c r="W31" s="12"/>
      <c r="X31" s="12"/>
      <c r="Y31" s="12"/>
      <c r="Z31" s="12"/>
      <c r="AA31" s="12"/>
      <c r="AB31" s="12"/>
      <c r="AC31" s="12"/>
      <c r="AD31" s="12"/>
      <c r="AE31" s="12"/>
      <c r="AF31" s="12"/>
      <c r="AG31" s="12"/>
      <c r="AH31" s="12"/>
    </row>
    <row r="32" spans="1:34" ht="22.2">
      <c r="A32" s="52"/>
      <c r="B32" s="51" t="str">
        <f ca="1">B26</f>
        <v xml:space="preserve">Tantalum  </v>
      </c>
      <c r="C32" s="13"/>
      <c r="D32" s="390"/>
      <c r="E32" s="391"/>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 xml:space="preserve">Tin  </v>
      </c>
      <c r="C33" s="13"/>
      <c r="D33" s="378"/>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 xml:space="preserve">Gold  </v>
      </c>
      <c r="C34" s="13"/>
      <c r="D34" s="378"/>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v>
      </c>
      <c r="C37" s="13"/>
      <c r="D37" s="385" t="str">
        <f ca="1">D25</f>
        <v>Answer</v>
      </c>
      <c r="E37" s="385"/>
      <c r="F37" s="21"/>
      <c r="G37" s="55" t="str">
        <f ca="1">G25</f>
        <v>Comments</v>
      </c>
      <c r="H37" s="421"/>
      <c r="I37" s="421"/>
      <c r="J37" s="421"/>
      <c r="K37" s="47"/>
      <c r="L37" s="136" t="s">
        <v>1266</v>
      </c>
      <c r="M37" s="130"/>
      <c r="N37" s="130"/>
      <c r="O37" s="131"/>
      <c r="P37" s="56">
        <f>COUNTIF(D$26:D$29,"No")+COUNTIF(D$32:D$35,"No")</f>
        <v>4</v>
      </c>
      <c r="Q37" s="56" t="str">
        <f>IF(P37&gt;3,""," (*)")</f>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 xml:space="preserve">Tin  </v>
      </c>
      <c r="C39" s="13"/>
      <c r="D39" s="378"/>
      <c r="E39" s="379"/>
      <c r="F39" s="58"/>
      <c r="G39" s="380"/>
      <c r="H39" s="381"/>
      <c r="I39" s="381"/>
      <c r="J39" s="382"/>
      <c r="K39" s="47"/>
      <c r="L39" s="142"/>
      <c r="M39" s="130"/>
      <c r="N39" s="130"/>
      <c r="O39" s="131"/>
      <c r="P39" s="144" t="str">
        <f>IF((OR(D$27="No",D$33="No")),"","(*)")</f>
        <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 xml:space="preserve">Gold  </v>
      </c>
      <c r="C40" s="13"/>
      <c r="D40" s="378"/>
      <c r="E40" s="379"/>
      <c r="F40" s="58"/>
      <c r="G40" s="380"/>
      <c r="H40" s="381"/>
      <c r="I40" s="381"/>
      <c r="J40" s="382"/>
      <c r="K40" s="47"/>
      <c r="L40" s="142"/>
      <c r="M40" s="130"/>
      <c r="N40" s="130"/>
      <c r="O40" s="131"/>
      <c r="P40" s="144" t="str">
        <f>IF((OR(D$28="No",D$34="No")),"","(*)")</f>
        <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 customHeight="1">
      <c r="A43" s="52"/>
      <c r="B43" s="55" t="str">
        <f ca="1">OFFSET(L!$C$1,MATCH("Declaration"&amp;ADDRESS(ROW(),COLUMN(),4),L!$A:$A,0)-1,SL,,)&amp;Q$37</f>
        <v>4) Do any of the smelters in your supply chain source the 3TG from conflict-affected and high-risk areas?</v>
      </c>
      <c r="C43" s="13"/>
      <c r="D43" s="385" t="str">
        <f ca="1">D25</f>
        <v>Answer</v>
      </c>
      <c r="E43" s="385"/>
      <c r="F43" s="21"/>
      <c r="G43" s="55" t="str">
        <f ca="1">G25</f>
        <v>Comments</v>
      </c>
      <c r="H43" s="55"/>
      <c r="I43" s="55"/>
      <c r="J43" s="96"/>
      <c r="K43" s="47"/>
      <c r="L43" s="136"/>
      <c r="M43" s="130"/>
      <c r="N43" s="130"/>
      <c r="O43" s="131"/>
      <c r="P43" s="56">
        <f>COUNTIF(D$26:D$29,"No")+COUNTIF(D$32:D$35,"No")</f>
        <v>4</v>
      </c>
      <c r="Q43" s="56" t="str">
        <f>IF(P43&gt;3,""," (*)")</f>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 xml:space="preserve">Tin  </v>
      </c>
      <c r="C45" s="13"/>
      <c r="D45" s="378"/>
      <c r="E45" s="379"/>
      <c r="F45" s="58"/>
      <c r="G45" s="380"/>
      <c r="H45" s="381"/>
      <c r="I45" s="381"/>
      <c r="J45" s="382"/>
      <c r="K45" s="47"/>
      <c r="L45" s="136"/>
      <c r="M45" s="130"/>
      <c r="N45" s="130"/>
      <c r="O45" s="131"/>
      <c r="P45" s="144" t="str">
        <f>IF((OR(D$27="No",D$33="No")),"","(*)")</f>
        <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 xml:space="preserve">Gold  </v>
      </c>
      <c r="C46" s="13"/>
      <c r="D46" s="378"/>
      <c r="E46" s="379"/>
      <c r="F46" s="58"/>
      <c r="G46" s="380"/>
      <c r="H46" s="381"/>
      <c r="I46" s="381"/>
      <c r="J46" s="382"/>
      <c r="K46" s="47"/>
      <c r="L46" s="136"/>
      <c r="M46" s="130"/>
      <c r="N46" s="130"/>
      <c r="O46" s="131"/>
      <c r="P46" s="144" t="str">
        <f>IF((OR(D$28="No",D$34="No")),"","(*)")</f>
        <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 xml:space="preserve">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 xml:space="preserve">Tin  </v>
      </c>
      <c r="C51" s="13"/>
      <c r="D51" s="378"/>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 xml:space="preserve">Gold  </v>
      </c>
      <c r="C52" s="13"/>
      <c r="D52" s="378"/>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00000000000006" customHeight="1">
      <c r="A55" s="52"/>
      <c r="B55" s="161" t="str">
        <f ca="1">OFFSET(L!$C$1,MATCH("Declaration"&amp;ADDRESS(ROW(),COLUMN(),4),L!$A:$A,0)-1,SL,,)&amp;Q$37</f>
        <v xml:space="preserve">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 xml:space="preserve">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 xml:space="preserve">Tin  </v>
      </c>
      <c r="C57" s="46"/>
      <c r="D57" s="383"/>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 xml:space="preserve">Gold  </v>
      </c>
      <c r="C58" s="46"/>
      <c r="D58" s="383"/>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 xml:space="preserve">Tungsten  </v>
      </c>
      <c r="C59" s="46"/>
      <c r="D59" s="383"/>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 r="A61" s="52"/>
      <c r="B61" s="161" t="str">
        <f ca="1">OFFSET(L!$C$1,MATCH("Declaration"&amp;ADDRESS(ROW(),COLUMN(),4),L!$A:$A,0)-1,SL,,)&amp;Q$37</f>
        <v xml:space="preserve">7) Have you identified all of the smelters supplying the 3TG to your supply chain? </v>
      </c>
      <c r="C61" s="13"/>
      <c r="D61" s="385" t="str">
        <f ca="1">D25</f>
        <v>Answer</v>
      </c>
      <c r="E61" s="385"/>
      <c r="F61" s="21"/>
      <c r="G61" s="55" t="str">
        <f ca="1">G25</f>
        <v>Comments</v>
      </c>
      <c r="H61" s="420"/>
      <c r="I61" s="420"/>
      <c r="J61" s="420"/>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 xml:space="preserve">Tantalum  </v>
      </c>
      <c r="C62" s="13"/>
      <c r="D62" s="390"/>
      <c r="E62" s="391"/>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 xml:space="preserve">Tin  </v>
      </c>
      <c r="C63" s="13"/>
      <c r="D63" s="378"/>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 xml:space="preserve">Gold  </v>
      </c>
      <c r="C64" s="13"/>
      <c r="D64" s="378"/>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 r="A67" s="52"/>
      <c r="B67" s="55" t="str">
        <f ca="1">OFFSET(L!$C$1,MATCH("Declaration"&amp;ADDRESS(ROW(),COLUMN(),4),L!$A:$A,0)-1,SL,,)&amp;Q$37</f>
        <v xml:space="preserve">8) Has all applicable smelter information received by your company been reported in this declaration? </v>
      </c>
      <c r="C67" s="13"/>
      <c r="D67" s="385" t="str">
        <f ca="1">D25</f>
        <v>Answer</v>
      </c>
      <c r="E67" s="385"/>
      <c r="F67" s="21"/>
      <c r="G67" s="55" t="str">
        <f ca="1">G25</f>
        <v>Comments</v>
      </c>
      <c r="H67" s="420" t="str">
        <f>IF(Q75="(*)","Click here to enter smelter names","")</f>
        <v/>
      </c>
      <c r="I67" s="420"/>
      <c r="J67" s="420"/>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 xml:space="preserve">Tin  </v>
      </c>
      <c r="C69" s="46"/>
      <c r="D69" s="378"/>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 xml:space="preserve">Gold  </v>
      </c>
      <c r="C70" s="46"/>
      <c r="D70" s="378"/>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32" t="str">
        <f ca="1">OFFSET(L!$C$1,MATCH("Declaration"&amp;ADDRESS(ROW(),COLUMN(),4),L!$A:$A,0)-1,SL,,)</f>
        <v>Answer the Following Questions at a Company Level</v>
      </c>
      <c r="C73" s="432"/>
      <c r="D73" s="432"/>
      <c r="E73" s="432"/>
      <c r="F73" s="432"/>
      <c r="G73" s="432"/>
      <c r="H73" s="432"/>
      <c r="I73" s="432"/>
      <c r="J73" s="432"/>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23" t="str">
        <f ca="1">D25</f>
        <v>Answer</v>
      </c>
      <c r="E74" s="423"/>
      <c r="F74" s="64"/>
      <c r="G74" s="423" t="str">
        <f ca="1">G25</f>
        <v>Comments</v>
      </c>
      <c r="H74" s="423" t="e">
        <f>HLOOKUP(SL,LT,$O74,0)</f>
        <v>#NAME?</v>
      </c>
      <c r="I74" s="423"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v>
      </c>
      <c r="C75" s="68"/>
      <c r="D75" s="378" t="s">
        <v>498</v>
      </c>
      <c r="E75" s="379"/>
      <c r="F75" s="68"/>
      <c r="G75" s="380" t="s">
        <v>15518</v>
      </c>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24"/>
      <c r="H76" s="424"/>
      <c r="I76" s="424"/>
      <c r="J76" s="424"/>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v>
      </c>
      <c r="C77" s="68"/>
      <c r="D77" s="378" t="s">
        <v>499</v>
      </c>
      <c r="E77" s="379"/>
      <c r="F77" s="68"/>
      <c r="G77" s="392"/>
      <c r="H77" s="393"/>
      <c r="I77" s="393"/>
      <c r="J77" s="394"/>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v>
      </c>
      <c r="C79" s="68"/>
      <c r="D79" s="378" t="s">
        <v>499</v>
      </c>
      <c r="E79" s="379"/>
      <c r="F79" s="68"/>
      <c r="G79" s="380" t="s">
        <v>15520</v>
      </c>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v>
      </c>
      <c r="C81" s="68"/>
      <c r="D81" s="378" t="s">
        <v>499</v>
      </c>
      <c r="E81" s="379"/>
      <c r="F81" s="68"/>
      <c r="G81" s="380" t="s">
        <v>15519</v>
      </c>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v>
      </c>
      <c r="C83" s="68"/>
      <c r="D83" s="378" t="s">
        <v>499</v>
      </c>
      <c r="E83" s="379"/>
      <c r="F83" s="68"/>
      <c r="G83" s="380" t="s">
        <v>15521</v>
      </c>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v>
      </c>
      <c r="C85" s="68"/>
      <c r="D85" s="404" t="s">
        <v>498</v>
      </c>
      <c r="E85" s="389"/>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24"/>
      <c r="H86" s="424"/>
      <c r="I86" s="424"/>
      <c r="J86" s="424"/>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31"/>
      <c r="H88" s="431"/>
      <c r="I88" s="431"/>
      <c r="J88" s="431"/>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30" t="str">
        <f>IF(OR($D$8="",$I$3=""),"","Click here to check required fields completion")</f>
        <v/>
      </c>
      <c r="C90" s="430"/>
      <c r="D90" s="430"/>
      <c r="E90" s="430"/>
      <c r="F90" s="430"/>
      <c r="G90" s="430"/>
      <c r="H90" s="430"/>
      <c r="I90" s="430"/>
      <c r="J90" s="430"/>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28" t="str">
        <f ca="1">OFFSET(L!$C$1,MATCH("General"&amp;"Cpy",L!$A:$A,0)-1,SL,,)</f>
        <v>© 2020 Responsible Minerals Initiative. All rights reserved.</v>
      </c>
      <c r="B91" s="429"/>
      <c r="C91" s="429"/>
      <c r="D91" s="429"/>
      <c r="E91" s="429"/>
      <c r="F91" s="429"/>
      <c r="G91" s="429"/>
      <c r="H91" s="429"/>
      <c r="I91" s="429"/>
      <c r="J91" s="429"/>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14" priority="82" stopIfTrue="1">
      <formula>AND(OR($D$26="No",AND($D$26="Yes",$D$32="No")),OR($D$27="No",AND($D$27="Yes",$D$33="No")),OR($D$28="No",AND($D$28="Yes",$D$34="No")),OR($D$29="No",AND($D$29="Yes",$D$35="No")))</formula>
    </cfRule>
    <cfRule type="expression" dxfId="113" priority="83" stopIfTrue="1">
      <formula>IF(D75="",TRUE)</formula>
    </cfRule>
  </conditionalFormatting>
  <conditionalFormatting sqref="G77:J77">
    <cfRule type="expression" dxfId="112" priority="54" stopIfTrue="1">
      <formula>IF(AND($D$77="Yes",$G$77=""),TRUE)</formula>
    </cfRule>
  </conditionalFormatting>
  <conditionalFormatting sqref="D26:E26">
    <cfRule type="expression" dxfId="111" priority="134" stopIfTrue="1">
      <formula>IF($D$26="",TRUE)</formula>
    </cfRule>
  </conditionalFormatting>
  <conditionalFormatting sqref="D27:E27">
    <cfRule type="expression" dxfId="110" priority="141" stopIfTrue="1">
      <formula>IF($D$27="",TRUE)</formula>
    </cfRule>
  </conditionalFormatting>
  <conditionalFormatting sqref="D28:E28">
    <cfRule type="expression" dxfId="109" priority="142" stopIfTrue="1">
      <formula>IF($D$28="",TRUE)</formula>
    </cfRule>
  </conditionalFormatting>
  <conditionalFormatting sqref="D29:E29">
    <cfRule type="expression" dxfId="108" priority="143" stopIfTrue="1">
      <formula>IF($D$29="",TRUE)</formula>
    </cfRule>
  </conditionalFormatting>
  <conditionalFormatting sqref="D9:G9">
    <cfRule type="expression" dxfId="107" priority="149" stopIfTrue="1">
      <formula>IF($D$9="",TRUE)</formula>
    </cfRule>
  </conditionalFormatting>
  <conditionalFormatting sqref="D22:E22">
    <cfRule type="expression" dxfId="106" priority="156" stopIfTrue="1">
      <formula>IF($D$22="",TRUE)</formula>
    </cfRule>
  </conditionalFormatting>
  <conditionalFormatting sqref="D10:J10">
    <cfRule type="expression" dxfId="105" priority="53" stopIfTrue="1">
      <formula>IF($D$9=$Q$9,TRUE)</formula>
    </cfRule>
    <cfRule type="expression" dxfId="104" priority="163" stopIfTrue="1">
      <formula>IF(AND($D$10="",$D$9=$R$9),TRUE)</formula>
    </cfRule>
  </conditionalFormatting>
  <conditionalFormatting sqref="D34:E34 D40:E40 D52:E52 D58:E58 D64:E64 D70:E70">
    <cfRule type="expression" dxfId="103" priority="46" stopIfTrue="1">
      <formula>$P$28=""</formula>
    </cfRule>
  </conditionalFormatting>
  <conditionalFormatting sqref="D35:E35 D41:E41 D53:E53 D59:E59 D65:E65 D71:E71">
    <cfRule type="expression" dxfId="102" priority="161" stopIfTrue="1">
      <formula>$P$29=""</formula>
    </cfRule>
  </conditionalFormatting>
  <conditionalFormatting sqref="D32:E32">
    <cfRule type="expression" dxfId="101" priority="139" stopIfTrue="1">
      <formula>$P$26=""</formula>
    </cfRule>
  </conditionalFormatting>
  <conditionalFormatting sqref="D32:E32">
    <cfRule type="expression" dxfId="100" priority="52" stopIfTrue="1">
      <formula>IF(AND(OR($D$26="Yes",$D$26=""),$D$32=""),1,0)</formula>
    </cfRule>
  </conditionalFormatting>
  <conditionalFormatting sqref="D38 D50 D56 D62 D68">
    <cfRule type="expression" dxfId="99" priority="48" stopIfTrue="1">
      <formula>$P$32=""</formula>
    </cfRule>
  </conditionalFormatting>
  <conditionalFormatting sqref="D39:E39 D51 D57 D63 D69">
    <cfRule type="expression" dxfId="98" priority="47" stopIfTrue="1">
      <formula>$P$33=""</formula>
    </cfRule>
  </conditionalFormatting>
  <conditionalFormatting sqref="D40 D52 D58 D64 D70">
    <cfRule type="expression" dxfId="97" priority="37" stopIfTrue="1">
      <formula>$P$34=""</formula>
    </cfRule>
    <cfRule type="expression" dxfId="96" priority="159" stopIfTrue="1">
      <formula>IF(AND(OR($D$28="Yes",$D$28=""),D40=""),1,0)</formula>
    </cfRule>
  </conditionalFormatting>
  <conditionalFormatting sqref="D41 D53 D59 D65 D71">
    <cfRule type="expression" dxfId="95" priority="45" stopIfTrue="1">
      <formula>$P$35=""</formula>
    </cfRule>
  </conditionalFormatting>
  <conditionalFormatting sqref="D38:E38 D50:E50 D56:E56 D62:E62 D68:E68">
    <cfRule type="expression" dxfId="94" priority="50" stopIfTrue="1">
      <formula>$P$26=""</formula>
    </cfRule>
    <cfRule type="expression" dxfId="93" priority="51" stopIfTrue="1">
      <formula>IF(AND(OR($D$26="Yes",$D$26=""),D38=""),1,0)</formula>
    </cfRule>
  </conditionalFormatting>
  <conditionalFormatting sqref="G85:J85">
    <cfRule type="expression" dxfId="92" priority="44" stopIfTrue="1">
      <formula>IF(AND($D$85="Yes, using other format (describe)",$G$85=""),TRUE)</formula>
    </cfRule>
  </conditionalFormatting>
  <conditionalFormatting sqref="D39:E39 D51:E51 D57:E57 D63:E63 D69:E69">
    <cfRule type="expression" dxfId="91" priority="157" stopIfTrue="1">
      <formula>$P$39=""</formula>
    </cfRule>
    <cfRule type="expression" dxfId="90" priority="158" stopIfTrue="1">
      <formula>IF(AND(OR($D$27="Yes",$D$27=""),D39=""),1,0)</formula>
    </cfRule>
  </conditionalFormatting>
  <conditionalFormatting sqref="D33:E33">
    <cfRule type="expression" dxfId="89" priority="39" stopIfTrue="1">
      <formula>IF(AND(OR($D$27="Yes",$D$27=""),$D$33=""),1,0)</formula>
    </cfRule>
    <cfRule type="expression" dxfId="88" priority="40" stopIfTrue="1">
      <formula>$P$27=""</formula>
    </cfRule>
  </conditionalFormatting>
  <conditionalFormatting sqref="D34:E34">
    <cfRule type="expression" dxfId="87" priority="160" stopIfTrue="1">
      <formula>IF(AND(OR($D$28="Yes",$D$28=""),$D$34=""),1,0)</formula>
    </cfRule>
  </conditionalFormatting>
  <conditionalFormatting sqref="D41:E41 D53:E53 D59:E59 D65:E65 D71:E71">
    <cfRule type="expression" dxfId="86" priority="162" stopIfTrue="1">
      <formula>IF(AND(OR($D$29="Yes",$D$29=""),D41=""),1,0)</formula>
    </cfRule>
  </conditionalFormatting>
  <conditionalFormatting sqref="D35:E35">
    <cfRule type="expression" dxfId="85" priority="36" stopIfTrue="1">
      <formula>IF(AND(OR($D$29="Yes",$D$29=""),$D$35=""),1,0)</formula>
    </cfRule>
  </conditionalFormatting>
  <conditionalFormatting sqref="D46:E46">
    <cfRule type="expression" dxfId="84" priority="22" stopIfTrue="1">
      <formula>$P$28=""</formula>
    </cfRule>
  </conditionalFormatting>
  <conditionalFormatting sqref="D47:E47">
    <cfRule type="expression" dxfId="83" priority="30" stopIfTrue="1">
      <formula>$P$29=""</formula>
    </cfRule>
  </conditionalFormatting>
  <conditionalFormatting sqref="D44">
    <cfRule type="expression" dxfId="82" priority="24" stopIfTrue="1">
      <formula>$P$32=""</formula>
    </cfRule>
  </conditionalFormatting>
  <conditionalFormatting sqref="D45">
    <cfRule type="expression" dxfId="81" priority="23" stopIfTrue="1">
      <formula>$P$33=""</formula>
    </cfRule>
  </conditionalFormatting>
  <conditionalFormatting sqref="D46">
    <cfRule type="expression" dxfId="80" priority="20" stopIfTrue="1">
      <formula>$P$34=""</formula>
    </cfRule>
    <cfRule type="expression" dxfId="79" priority="29" stopIfTrue="1">
      <formula>IF(AND(OR($D$28="Yes",$D$28=""),D46=""),1,0)</formula>
    </cfRule>
  </conditionalFormatting>
  <conditionalFormatting sqref="D47">
    <cfRule type="expression" dxfId="78" priority="21" stopIfTrue="1">
      <formula>$P$35=""</formula>
    </cfRule>
  </conditionalFormatting>
  <conditionalFormatting sqref="D44:E44">
    <cfRule type="expression" dxfId="77" priority="25" stopIfTrue="1">
      <formula>$P$26=""</formula>
    </cfRule>
    <cfRule type="expression" dxfId="76" priority="26" stopIfTrue="1">
      <formula>IF(AND(OR($D$26="Yes",$D$26=""),D44=""),1,0)</formula>
    </cfRule>
  </conditionalFormatting>
  <conditionalFormatting sqref="D45:E45">
    <cfRule type="expression" dxfId="75" priority="27" stopIfTrue="1">
      <formula>$P$39=""</formula>
    </cfRule>
    <cfRule type="expression" dxfId="74" priority="28" stopIfTrue="1">
      <formula>IF(AND(OR($D$27="Yes",$D$27=""),D45=""),1,0)</formula>
    </cfRule>
  </conditionalFormatting>
  <conditionalFormatting sqref="D47:E47">
    <cfRule type="expression" dxfId="73" priority="31" stopIfTrue="1">
      <formula>IF(AND(OR($D$29="Yes",$D$29=""),D47=""),1,0)</formula>
    </cfRule>
  </conditionalFormatting>
  <conditionalFormatting sqref="D8:J8">
    <cfRule type="expression" dxfId="72" priority="19" stopIfTrue="1">
      <formula>IF($D$8="",TRUE)</formula>
    </cfRule>
  </conditionalFormatting>
  <conditionalFormatting sqref="D15:J15">
    <cfRule type="expression" dxfId="6" priority="4" stopIfTrue="1">
      <formula>IF($D$15="",TRUE)</formula>
    </cfRule>
  </conditionalFormatting>
  <conditionalFormatting sqref="D16:J16">
    <cfRule type="expression" dxfId="5" priority="5" stopIfTrue="1">
      <formula>IF($D$16="",TRUE)</formula>
    </cfRule>
  </conditionalFormatting>
  <conditionalFormatting sqref="D17:J17">
    <cfRule type="expression" dxfId="4" priority="6" stopIfTrue="1">
      <formula>IF($D$17="",TRUE)</formula>
    </cfRule>
  </conditionalFormatting>
  <conditionalFormatting sqref="D18:J18">
    <cfRule type="expression" dxfId="3" priority="7" stopIfTrue="1">
      <formula>IF($D$18="",TRUE)</formula>
    </cfRule>
  </conditionalFormatting>
  <conditionalFormatting sqref="D20:J20">
    <cfRule type="expression" dxfId="2" priority="2" stopIfTrue="1">
      <formula>IF($D$20="",TRUE)</formula>
    </cfRule>
  </conditionalFormatting>
  <conditionalFormatting sqref="D21:J21">
    <cfRule type="expression" dxfId="1" priority="3" stopIfTrue="1">
      <formula>IF($D$21="",TRUE)</formula>
    </cfRule>
  </conditionalFormatting>
  <conditionalFormatting sqref="G83:J83">
    <cfRule type="expression" dxfId="0" priority="1" stopIfTrue="1">
      <formula>IF(AND($D$79="Yes, using other format (describe)",$G$79=""),TRUE)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16" r:id="rId3" xr:uid="{1BA2D51D-7FF4-4977-AB9E-937A5E8E1056}"/>
    <hyperlink ref="D20" r:id="rId4" xr:uid="{FFC47350-96FC-4D62-9054-93F56AA40DF0}"/>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B3" sqref="B3:E3"/>
    </sheetView>
  </sheetViews>
  <sheetFormatPr baseColWidth="10" defaultColWidth="8.90625" defaultRowHeight="12.6"/>
  <cols>
    <col min="1" max="1" width="13.6328125" style="277" customWidth="1"/>
    <col min="2" max="2" width="13.36328125" style="282" customWidth="1"/>
    <col min="3" max="3" width="40.6328125" style="282" customWidth="1"/>
    <col min="4" max="4" width="30.6328125" style="282" customWidth="1"/>
    <col min="5" max="5" width="20.90625" style="282" customWidth="1"/>
    <col min="6" max="7" width="13.90625" style="282" customWidth="1"/>
    <col min="8" max="8" width="25.08984375" style="282" customWidth="1"/>
    <col min="9" max="9" width="24.08984375" style="282" customWidth="1"/>
    <col min="10" max="10" width="18.36328125" style="282" customWidth="1"/>
    <col min="11" max="11" width="27.36328125" style="282" customWidth="1"/>
    <col min="12" max="12" width="20.6328125" style="282" customWidth="1"/>
    <col min="13" max="13" width="35.08984375" style="282" customWidth="1"/>
    <col min="14" max="14" width="42.08984375" style="282" customWidth="1"/>
    <col min="15" max="15" width="32.08984375" style="282" customWidth="1"/>
    <col min="16" max="16" width="22.90625" style="282" customWidth="1"/>
    <col min="17" max="17" width="43.6328125" style="282" customWidth="1"/>
    <col min="18" max="18" width="35.90625" style="282" hidden="1" customWidth="1"/>
    <col min="19" max="20" width="17.90625" style="282" hidden="1" customWidth="1"/>
    <col min="21" max="21" width="8.90625" style="281" hidden="1" customWidth="1"/>
    <col min="22" max="22" width="6.08984375" style="281" hidden="1" customWidth="1"/>
    <col min="23" max="23" width="8.6328125" style="281" hidden="1" customWidth="1"/>
    <col min="24" max="24" width="8.90625" style="281" hidden="1" customWidth="1"/>
    <col min="25" max="26" width="4.36328125" style="281" hidden="1" customWidth="1"/>
    <col min="27" max="27" width="4.36328125" style="282" hidden="1" customWidth="1"/>
    <col min="28" max="28" width="7.90625" style="282" hidden="1" customWidth="1"/>
    <col min="29" max="33" width="4.36328125" style="282" hidden="1" customWidth="1"/>
    <col min="34" max="34" width="14.6328125" style="282" hidden="1" customWidth="1"/>
    <col min="35" max="39" width="8.90625" style="282" customWidth="1"/>
    <col min="40" max="16384" width="8.90625" style="282"/>
  </cols>
  <sheetData>
    <row r="1" spans="1:34" s="269" customFormat="1" ht="15.9"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8.2">
      <c r="A2" s="203"/>
      <c r="B2" s="222" t="str">
        <f ca="1">OFFSET(L!$C$1,MATCH("Smelter List"&amp;ADDRESS(ROW(),COLUMN(),4),L!$A:$A,0)-1,SL,,)</f>
        <v>TO BEGIN:</v>
      </c>
      <c r="C2" s="205"/>
      <c r="D2" s="205"/>
      <c r="E2" s="205"/>
      <c r="F2" s="232"/>
      <c r="G2" s="232"/>
      <c r="H2" s="232"/>
      <c r="I2" s="233"/>
      <c r="J2" s="433" t="str">
        <f ca="1">OFFSET(L!$C$1,MATCH("Smelter List"&amp;ADDRESS(ROW(),COLUMN(),4),L!$A:$A,0)-1,SL,,)</f>
        <v>Link to "RMAP Conformant Smelter List"</v>
      </c>
      <c r="K2" s="434"/>
      <c r="L2" s="434"/>
      <c r="M2" s="434"/>
      <c r="N2" s="434"/>
      <c r="O2" s="434"/>
      <c r="P2" s="234"/>
      <c r="Q2" s="235"/>
      <c r="R2" s="236"/>
      <c r="S2" s="236"/>
      <c r="T2" s="236"/>
      <c r="U2" s="267"/>
      <c r="V2" s="267"/>
      <c r="W2" s="268"/>
      <c r="X2" s="267"/>
      <c r="Y2" s="267"/>
      <c r="Z2" s="267"/>
      <c r="AH2" s="176" t="s">
        <v>498</v>
      </c>
    </row>
    <row r="3" spans="1:34" s="269" customFormat="1" ht="124.5" customHeight="1">
      <c r="A3" s="204"/>
      <c r="B3" s="435"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5"/>
      <c r="D3" s="435"/>
      <c r="E3" s="435"/>
      <c r="F3" s="270"/>
      <c r="G3" s="436" t="str">
        <f ca="1">OFFSET(L!$C$1,MATCH("General"&amp;"Cpy",L!$A:$A,0)-1,SL,,)</f>
        <v>© 2020 Responsible Minerals Initiative. All rights reserved.</v>
      </c>
      <c r="H3" s="436"/>
      <c r="I3" s="437"/>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c r="B5" s="217" t="str">
        <f>IF(LEN(A5)=0,"",INDEX('Smelter Look-up'!$A:$A,MATCH($A5,'Smelter Look-up'!$E:$E,0)))</f>
        <v/>
      </c>
      <c r="C5" s="221" t="str">
        <f>IF(LEN(A5)=0,"",INDEX('Smelter Look-up'!$C:$C,MATCH($A5,'Smelter Look-up'!$E:$E,0)))</f>
        <v/>
      </c>
      <c r="D5" s="283"/>
      <c r="E5" s="217" t="str">
        <f ca="1">IF(ISERROR($V5),"",OFFSET('Smelter Look-up'!$D$4,$V5-4,0)&amp;"")</f>
        <v/>
      </c>
      <c r="F5" s="217" t="str">
        <f ca="1">IF(ISERROR($V5),"",OFFSET('Smelter Look-up'!$E$4,$V5-4,0))</f>
        <v/>
      </c>
      <c r="G5" s="217" t="str">
        <f ca="1">IF(C5=$X$4,"Enter smelter details",IF(ISERROR($V5),"",OFFSET('Smelter Look-up'!$F$4,$V5-4,0)))</f>
        <v/>
      </c>
      <c r="H5" s="218" t="str">
        <f ca="1">IF(ISERROR($V5),"",OFFSET('Smelter Look-up'!$G$4,$V5-4,0))</f>
        <v/>
      </c>
      <c r="I5" s="219" t="str">
        <f ca="1">IF(ISERROR($V5),"",OFFSET('Smelter Look-up'!$H$4,$V5-4,0))</f>
        <v/>
      </c>
      <c r="J5" s="219" t="str">
        <f ca="1">IF(ISERROR($V5),"",OFFSET('Smelter Look-up'!$I$4,$V5-4,0))</f>
        <v/>
      </c>
      <c r="K5" s="273"/>
      <c r="L5" s="273"/>
      <c r="M5" s="273"/>
      <c r="N5" s="273"/>
      <c r="O5" s="273"/>
      <c r="P5" s="220"/>
      <c r="Q5" s="274"/>
      <c r="R5" s="217" t="str">
        <f ca="1">IF(ISERROR($V5),"",OFFSET('Smelter Look-up'!$C$4,$V5-4,0)&amp;"")</f>
        <v/>
      </c>
      <c r="S5" s="225" t="str">
        <f t="shared" ref="S5" ca="1" si="0">IF(B5="","",IF(ISERROR(MATCH($E5,CL,0)),"Unknown",INDIRECT("'C'!$A$"&amp;MATCH($E5,CL,0)+1)))</f>
        <v/>
      </c>
      <c r="T5" s="225" t="str">
        <f ca="1">IF(B5="","",IF(ISERROR(MATCH($J5,SorP!$B$1:$B$6230,0)),"",INDIRECT("'SorP'!$A$"&amp;MATCH($J5,SorP!$B$1:$B$6230,0))))</f>
        <v/>
      </c>
      <c r="U5" s="241"/>
      <c r="V5" s="275" t="e">
        <f>IF(C5="",NA(),MATCH($B5&amp;$C5,'Smelter Look-up'!$J:$J,0))</f>
        <v>#N/A</v>
      </c>
      <c r="W5" s="276"/>
      <c r="X5" s="276">
        <f t="shared" ref="X5" ca="1" si="1">IF(AND(C5="Smelter not listed",OR(LEN(D5)=0,LEN(E5)=0)),1,0)</f>
        <v>0</v>
      </c>
      <c r="Y5" s="276"/>
      <c r="Z5" s="276"/>
      <c r="AB5" s="278" t="str">
        <f t="shared" ref="AB5" si="2">B5&amp;C5</f>
        <v/>
      </c>
    </row>
    <row r="6" spans="1:34" s="277" customFormat="1" ht="20.100000000000001" customHeight="1">
      <c r="A6" s="332"/>
      <c r="B6" s="217" t="str">
        <f>IF(LEN(A6)=0,"",INDEX('Smelter Look-up'!$A:$A,MATCH($A6,'Smelter Look-up'!$E:$E,0)))</f>
        <v/>
      </c>
      <c r="C6" s="221" t="str">
        <f>IF(LEN(A6)=0,"",INDEX('Smelter Look-up'!$C:$C,MATCH($A6,'Smelter Look-up'!$E:$E,0)))</f>
        <v/>
      </c>
      <c r="D6" s="283"/>
      <c r="E6" s="217" t="str">
        <f ca="1">IF(ISERROR($V6),"",OFFSET('Smelter Look-up'!$D$4,$V6-4,0)&amp;"")</f>
        <v/>
      </c>
      <c r="F6" s="217" t="str">
        <f ca="1">IF(ISERROR($V6),"",OFFSET('Smelter Look-up'!$E$4,$V6-4,0))</f>
        <v/>
      </c>
      <c r="G6" s="217" t="str">
        <f ca="1">IF(C6=$X$4,"Enter smelter details",IF(ISERROR($V6),"",OFFSET('Smelter Look-up'!$F$4,$V6-4,0)))</f>
        <v/>
      </c>
      <c r="H6" s="218" t="str">
        <f ca="1">IF(ISERROR($V6),"",OFFSET('Smelter Look-up'!$G$4,$V6-4,0))</f>
        <v/>
      </c>
      <c r="I6" s="219" t="str">
        <f ca="1">IF(ISERROR($V6),"",OFFSET('Smelter Look-up'!$H$4,$V6-4,0))</f>
        <v/>
      </c>
      <c r="J6" s="219" t="str">
        <f ca="1">IF(ISERROR($V6),"",OFFSET('Smelter Look-up'!$I$4,$V6-4,0))</f>
        <v/>
      </c>
      <c r="K6" s="273"/>
      <c r="L6" s="273"/>
      <c r="M6" s="273"/>
      <c r="N6" s="273"/>
      <c r="O6" s="273"/>
      <c r="P6" s="220"/>
      <c r="Q6" s="274"/>
      <c r="R6" s="217" t="str">
        <f ca="1">IF(ISERROR($V6),"",OFFSET('Smelter Look-up'!$C$4,$V6-4,0)&amp;"")</f>
        <v/>
      </c>
      <c r="S6" s="225" t="str">
        <f t="shared" ref="S6:S37" ca="1" si="3">IF(B6="","",IF(ISERROR(MATCH($E6,CL,0)),"Unknown",INDIRECT("'C'!$A$"&amp;MATCH($E6,CL,0)+1)))</f>
        <v/>
      </c>
      <c r="T6" s="225" t="str">
        <f ca="1">IF(B6="","",IF(ISERROR(MATCH($J6,SorP!$B$1:$B$6230,0)),"",INDIRECT("'SorP'!$A$"&amp;MATCH($J6,SorP!$B$1:$B$6230,0))))</f>
        <v/>
      </c>
      <c r="U6" s="241"/>
      <c r="V6" s="275" t="e">
        <f>IF(C6="",NA(),MATCH($B6&amp;$C6,'Smelter Look-up'!$J:$J,0))</f>
        <v>#N/A</v>
      </c>
      <c r="W6" s="276"/>
      <c r="X6" s="276">
        <f t="shared" ref="X6:X37" ca="1" si="4">IF(AND(C6="Smelter not listed",OR(LEN(D6)=0,LEN(E6)=0)),1,0)</f>
        <v>0</v>
      </c>
      <c r="Y6" s="276"/>
      <c r="Z6" s="276"/>
      <c r="AB6" s="278" t="str">
        <f t="shared" ref="AB6:AB37" si="5">B6&amp;C6</f>
        <v/>
      </c>
    </row>
    <row r="7" spans="1:34" s="277" customFormat="1" ht="20.100000000000001" customHeight="1">
      <c r="A7" s="332"/>
      <c r="B7" s="217" t="str">
        <f>IF(LEN(A7)=0,"",INDEX('Smelter Look-up'!$A:$A,MATCH($A7,'Smelter Look-up'!$E:$E,0)))</f>
        <v/>
      </c>
      <c r="C7" s="221" t="str">
        <f>IF(LEN(A7)=0,"",INDEX('Smelter Look-up'!$C:$C,MATCH($A7,'Smelter Look-up'!$E:$E,0)))</f>
        <v/>
      </c>
      <c r="D7" s="283"/>
      <c r="E7" s="217" t="str">
        <f ca="1">IF(ISERROR($V7),"",OFFSET('Smelter Look-up'!$D$4,$V7-4,0)&amp;"")</f>
        <v/>
      </c>
      <c r="F7" s="217" t="str">
        <f ca="1">IF(ISERROR($V7),"",OFFSET('Smelter Look-up'!$E$4,$V7-4,0))</f>
        <v/>
      </c>
      <c r="G7" s="217" t="str">
        <f ca="1">IF(C7=$X$4,"Enter smelter details",IF(ISERROR($V7),"",OFFSET('Smelter Look-up'!$F$4,$V7-4,0)))</f>
        <v/>
      </c>
      <c r="H7" s="218" t="str">
        <f ca="1">IF(ISERROR($V7),"",OFFSET('Smelter Look-up'!$G$4,$V7-4,0))</f>
        <v/>
      </c>
      <c r="I7" s="219" t="str">
        <f ca="1">IF(ISERROR($V7),"",OFFSET('Smelter Look-up'!$H$4,$V7-4,0))</f>
        <v/>
      </c>
      <c r="J7" s="219" t="str">
        <f ca="1">IF(ISERROR($V7),"",OFFSET('Smelter Look-up'!$I$4,$V7-4,0))</f>
        <v/>
      </c>
      <c r="K7" s="273"/>
      <c r="L7" s="273"/>
      <c r="M7" s="273"/>
      <c r="N7" s="273"/>
      <c r="O7" s="273"/>
      <c r="P7" s="220"/>
      <c r="Q7" s="274"/>
      <c r="R7" s="217" t="str">
        <f ca="1">IF(ISERROR($V7),"",OFFSET('Smelter Look-up'!$C$4,$V7-4,0)&amp;"")</f>
        <v/>
      </c>
      <c r="S7" s="225" t="str">
        <f t="shared" ca="1" si="3"/>
        <v/>
      </c>
      <c r="T7" s="225" t="str">
        <f ca="1">IF(B7="","",IF(ISERROR(MATCH($J7,SorP!$B$1:$B$6230,0)),"",INDIRECT("'SorP'!$A$"&amp;MATCH($J7,SorP!$B$1:$B$6230,0))))</f>
        <v/>
      </c>
      <c r="U7" s="241"/>
      <c r="V7" s="275" t="e">
        <f>IF(C7="",NA(),MATCH($B7&amp;$C7,'Smelter Look-up'!$J:$J,0))</f>
        <v>#N/A</v>
      </c>
      <c r="W7" s="276"/>
      <c r="X7" s="276">
        <f t="shared" ca="1" si="4"/>
        <v>0</v>
      </c>
      <c r="Y7" s="276"/>
      <c r="Z7" s="276"/>
      <c r="AB7" s="278" t="str">
        <f t="shared" si="5"/>
        <v/>
      </c>
    </row>
    <row r="8" spans="1:34" s="277" customFormat="1" ht="20.100000000000001"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20.100000000000001"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20.100000000000001"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20.100000000000001"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20.100000000000001"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20.100000000000001"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20.100000000000001"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20.100000000000001"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20.100000000000001"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20.100000000000001"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20.100000000000001"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399999999999999">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399999999999999">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399999999999999">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399999999999999">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399999999999999">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399999999999999">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399999999999999">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399999999999999">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399999999999999">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399999999999999">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399999999999999">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399999999999999">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399999999999999">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399999999999999">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399999999999999">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399999999999999">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399999999999999">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399999999999999">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399999999999999">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399999999999999">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399999999999999">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399999999999999">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399999999999999">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399999999999999">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399999999999999">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399999999999999">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399999999999999">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399999999999999">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399999999999999">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399999999999999">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399999999999999">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399999999999999">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399999999999999">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399999999999999">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399999999999999">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399999999999999">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399999999999999">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399999999999999">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399999999999999">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399999999999999">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399999999999999">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399999999999999">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399999999999999">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399999999999999">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399999999999999">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399999999999999">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399999999999999">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399999999999999">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399999999999999">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399999999999999">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399999999999999">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399999999999999">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399999999999999">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399999999999999">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399999999999999">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399999999999999">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399999999999999">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399999999999999">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399999999999999">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399999999999999">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399999999999999">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399999999999999">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399999999999999">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399999999999999">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399999999999999">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399999999999999">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399999999999999">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399999999999999">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399999999999999">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399999999999999">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399999999999999">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399999999999999">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399999999999999">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399999999999999">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399999999999999">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399999999999999">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399999999999999">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399999999999999">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399999999999999">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399999999999999">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399999999999999">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399999999999999">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399999999999999">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399999999999999">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399999999999999">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399999999999999">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399999999999999">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399999999999999">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399999999999999">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399999999999999">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399999999999999">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399999999999999">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399999999999999">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399999999999999">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399999999999999">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399999999999999">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399999999999999">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399999999999999">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399999999999999">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399999999999999">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399999999999999">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399999999999999">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399999999999999">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399999999999999">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399999999999999">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399999999999999">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399999999999999">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399999999999999">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399999999999999">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399999999999999">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399999999999999">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399999999999999">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399999999999999">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399999999999999">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399999999999999">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399999999999999">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399999999999999">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399999999999999">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399999999999999">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399999999999999">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399999999999999">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399999999999999">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399999999999999">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399999999999999">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399999999999999">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399999999999999">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399999999999999">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399999999999999">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399999999999999">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399999999999999">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399999999999999">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399999999999999">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399999999999999">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399999999999999">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399999999999999">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399999999999999">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399999999999999">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399999999999999">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399999999999999">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399999999999999">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399999999999999">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399999999999999">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399999999999999">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399999999999999">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399999999999999">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399999999999999">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399999999999999">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399999999999999">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399999999999999">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399999999999999">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399999999999999">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399999999999999">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399999999999999">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399999999999999">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399999999999999">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399999999999999">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399999999999999">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399999999999999">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399999999999999">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399999999999999">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399999999999999">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399999999999999">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399999999999999">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399999999999999">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399999999999999">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399999999999999">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399999999999999">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399999999999999">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399999999999999">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399999999999999">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399999999999999">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399999999999999">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399999999999999">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399999999999999">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399999999999999">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399999999999999">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399999999999999">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399999999999999">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399999999999999">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399999999999999">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399999999999999">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399999999999999">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399999999999999">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399999999999999">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399999999999999">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399999999999999">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399999999999999">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399999999999999">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399999999999999">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399999999999999">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399999999999999">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399999999999999">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399999999999999">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399999999999999">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399999999999999">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399999999999999">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399999999999999">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399999999999999">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399999999999999">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399999999999999">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399999999999999">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399999999999999">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399999999999999">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399999999999999">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399999999999999">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399999999999999">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399999999999999">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399999999999999">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399999999999999">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399999999999999">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399999999999999">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399999999999999">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399999999999999">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399999999999999">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399999999999999">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399999999999999">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399999999999999">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399999999999999">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399999999999999">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399999999999999">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399999999999999">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399999999999999">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399999999999999">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399999999999999">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399999999999999">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399999999999999">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399999999999999">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399999999999999">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399999999999999">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399999999999999">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399999999999999">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399999999999999">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399999999999999">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399999999999999">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399999999999999">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399999999999999">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399999999999999">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399999999999999">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399999999999999">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399999999999999">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399999999999999">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399999999999999">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399999999999999">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399999999999999">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399999999999999">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399999999999999">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399999999999999">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399999999999999">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399999999999999">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399999999999999">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399999999999999">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399999999999999">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399999999999999">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399999999999999">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399999999999999">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399999999999999">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399999999999999">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399999999999999">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399999999999999">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399999999999999">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399999999999999">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399999999999999">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399999999999999">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399999999999999">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399999999999999">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399999999999999">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399999999999999">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399999999999999">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399999999999999">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399999999999999">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399999999999999">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399999999999999">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399999999999999">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399999999999999">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399999999999999">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399999999999999">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399999999999999">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399999999999999">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399999999999999">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399999999999999">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399999999999999">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399999999999999">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399999999999999">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399999999999999">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399999999999999">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399999999999999">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399999999999999">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399999999999999">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399999999999999">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399999999999999">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399999999999999">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399999999999999">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399999999999999">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399999999999999">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399999999999999">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399999999999999">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399999999999999">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399999999999999">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399999999999999">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399999999999999">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399999999999999">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399999999999999">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399999999999999">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399999999999999">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399999999999999">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399999999999999">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399999999999999">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399999999999999">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399999999999999">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399999999999999">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399999999999999">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399999999999999">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399999999999999">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399999999999999">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399999999999999">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399999999999999">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399999999999999">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399999999999999">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399999999999999">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399999999999999">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399999999999999">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399999999999999">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399999999999999">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399999999999999">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399999999999999">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399999999999999">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399999999999999">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399999999999999">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399999999999999">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399999999999999">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399999999999999">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399999999999999">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399999999999999">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399999999999999">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399999999999999">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399999999999999">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399999999999999">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399999999999999">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399999999999999">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399999999999999">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399999999999999">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399999999999999">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399999999999999">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399999999999999">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399999999999999">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399999999999999">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399999999999999">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399999999999999">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399999999999999">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399999999999999">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399999999999999">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399999999999999">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399999999999999">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399999999999999">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399999999999999">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399999999999999">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399999999999999">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399999999999999">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399999999999999">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399999999999999">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399999999999999">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399999999999999">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399999999999999">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399999999999999">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399999999999999">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399999999999999">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399999999999999">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399999999999999">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399999999999999">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399999999999999">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399999999999999">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399999999999999">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399999999999999">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399999999999999">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399999999999999">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399999999999999">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399999999999999">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399999999999999">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399999999999999">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399999999999999">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399999999999999">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399999999999999">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399999999999999">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399999999999999">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399999999999999">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399999999999999">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399999999999999">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399999999999999">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399999999999999">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399999999999999">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399999999999999">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399999999999999">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399999999999999">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399999999999999">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399999999999999">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399999999999999">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399999999999999">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399999999999999">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399999999999999">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399999999999999">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399999999999999">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399999999999999">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399999999999999">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399999999999999">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399999999999999">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399999999999999">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399999999999999">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399999999999999">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399999999999999">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399999999999999">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399999999999999">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399999999999999">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399999999999999">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399999999999999">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399999999999999">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399999999999999">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399999999999999">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399999999999999">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399999999999999">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399999999999999">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399999999999999">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399999999999999">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399999999999999">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399999999999999">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399999999999999">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399999999999999">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399999999999999">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399999999999999">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399999999999999">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399999999999999">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399999999999999">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399999999999999">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399999999999999">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399999999999999">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399999999999999">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399999999999999">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399999999999999">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399999999999999">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399999999999999">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399999999999999">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399999999999999">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399999999999999">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399999999999999">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399999999999999">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399999999999999">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399999999999999">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399999999999999">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399999999999999">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399999999999999">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399999999999999">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399999999999999">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399999999999999">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399999999999999">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399999999999999">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399999999999999">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399999999999999">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399999999999999">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399999999999999">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399999999999999">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399999999999999">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399999999999999">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399999999999999">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399999999999999">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399999999999999">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399999999999999">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399999999999999">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399999999999999">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399999999999999">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399999999999999">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399999999999999">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399999999999999">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399999999999999">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399999999999999">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399999999999999">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399999999999999">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399999999999999">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399999999999999">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399999999999999">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399999999999999">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399999999999999">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399999999999999">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399999999999999">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399999999999999">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399999999999999">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399999999999999">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399999999999999">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399999999999999">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399999999999999">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399999999999999">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399999999999999">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399999999999999">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399999999999999">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399999999999999">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399999999999999">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399999999999999">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399999999999999">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399999999999999">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399999999999999">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399999999999999">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399999999999999">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399999999999999">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399999999999999">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399999999999999">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399999999999999">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399999999999999">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399999999999999">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399999999999999">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399999999999999">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399999999999999">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399999999999999">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399999999999999">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399999999999999">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399999999999999">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399999999999999">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399999999999999">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399999999999999">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399999999999999">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399999999999999">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399999999999999">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399999999999999">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399999999999999">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399999999999999">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399999999999999">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399999999999999">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399999999999999">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399999999999999">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399999999999999">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399999999999999">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399999999999999">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399999999999999">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399999999999999">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399999999999999">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399999999999999">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399999999999999">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399999999999999">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399999999999999">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399999999999999">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399999999999999">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399999999999999">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399999999999999">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399999999999999">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399999999999999">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399999999999999">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399999999999999">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399999999999999">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399999999999999">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399999999999999">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399999999999999">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399999999999999">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399999999999999">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399999999999999">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399999999999999">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399999999999999">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399999999999999">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399999999999999">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399999999999999">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399999999999999">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399999999999999">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399999999999999">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399999999999999">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399999999999999">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399999999999999">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399999999999999">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399999999999999">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399999999999999">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399999999999999">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399999999999999">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399999999999999">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399999999999999">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399999999999999">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399999999999999">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399999999999999">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399999999999999">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399999999999999">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399999999999999">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399999999999999">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399999999999999">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399999999999999">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399999999999999">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399999999999999">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399999999999999">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399999999999999">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399999999999999">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399999999999999">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399999999999999">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399999999999999">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399999999999999">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399999999999999">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399999999999999">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399999999999999">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399999999999999">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399999999999999">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399999999999999">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399999999999999">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399999999999999">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399999999999999">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399999999999999">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399999999999999">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399999999999999">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399999999999999">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399999999999999">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399999999999999">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399999999999999">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399999999999999">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399999999999999">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399999999999999">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399999999999999">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399999999999999">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399999999999999">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399999999999999">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399999999999999">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399999999999999">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399999999999999">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399999999999999">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399999999999999">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399999999999999">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399999999999999">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399999999999999">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399999999999999">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399999999999999">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399999999999999">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399999999999999">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399999999999999">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399999999999999">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399999999999999">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399999999999999">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399999999999999">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399999999999999">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399999999999999">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399999999999999">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399999999999999">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399999999999999">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399999999999999">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399999999999999">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399999999999999">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399999999999999">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399999999999999">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399999999999999">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399999999999999">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399999999999999">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399999999999999">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399999999999999">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399999999999999">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399999999999999">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399999999999999">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399999999999999">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399999999999999">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399999999999999">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399999999999999">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399999999999999">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399999999999999">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399999999999999">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399999999999999">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399999999999999">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399999999999999">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399999999999999">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399999999999999">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399999999999999">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399999999999999">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399999999999999">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399999999999999">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399999999999999">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399999999999999">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399999999999999">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399999999999999">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399999999999999">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399999999999999">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399999999999999">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399999999999999">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399999999999999">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399999999999999">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399999999999999">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399999999999999">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399999999999999">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399999999999999">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399999999999999">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399999999999999">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399999999999999">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399999999999999">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399999999999999">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399999999999999">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399999999999999">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399999999999999">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399999999999999">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399999999999999">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399999999999999">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399999999999999">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399999999999999">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399999999999999">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399999999999999">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399999999999999">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399999999999999">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399999999999999">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399999999999999">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399999999999999">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399999999999999">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399999999999999">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399999999999999">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399999999999999">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399999999999999">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399999999999999">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399999999999999">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399999999999999">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399999999999999">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399999999999999">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399999999999999">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399999999999999">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399999999999999">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399999999999999">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399999999999999">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399999999999999">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399999999999999">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399999999999999">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399999999999999">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399999999999999">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399999999999999">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399999999999999">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399999999999999">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399999999999999">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399999999999999">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399999999999999">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399999999999999">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399999999999999">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399999999999999">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399999999999999">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399999999999999">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399999999999999">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399999999999999">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399999999999999">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399999999999999">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399999999999999">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399999999999999">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399999999999999">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399999999999999">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399999999999999">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399999999999999">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399999999999999">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399999999999999">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399999999999999">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399999999999999">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399999999999999">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399999999999999">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399999999999999">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399999999999999">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399999999999999">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399999999999999">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399999999999999">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399999999999999">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399999999999999">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399999999999999">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399999999999999">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399999999999999">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399999999999999">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399999999999999">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399999999999999">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399999999999999">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399999999999999">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399999999999999">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399999999999999">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399999999999999">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399999999999999">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399999999999999">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399999999999999">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399999999999999">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399999999999999">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399999999999999">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399999999999999">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399999999999999">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399999999999999">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399999999999999">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399999999999999">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399999999999999">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399999999999999">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399999999999999">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399999999999999">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399999999999999">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399999999999999">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399999999999999">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399999999999999">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399999999999999">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399999999999999">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399999999999999">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399999999999999">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399999999999999">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399999999999999">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399999999999999">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399999999999999">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399999999999999">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399999999999999">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399999999999999">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399999999999999">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399999999999999">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399999999999999">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399999999999999">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399999999999999">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399999999999999">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399999999999999">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399999999999999">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399999999999999">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399999999999999">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399999999999999">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399999999999999">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399999999999999">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399999999999999">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399999999999999">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399999999999999">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399999999999999">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399999999999999">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399999999999999">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399999999999999">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399999999999999">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399999999999999">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399999999999999">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399999999999999">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399999999999999">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399999999999999">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399999999999999">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399999999999999">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399999999999999">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399999999999999">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399999999999999">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399999999999999">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399999999999999">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399999999999999">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399999999999999">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399999999999999">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399999999999999">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399999999999999">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399999999999999">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399999999999999">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399999999999999">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399999999999999">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399999999999999">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399999999999999">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399999999999999">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399999999999999">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399999999999999">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399999999999999">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399999999999999">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399999999999999">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399999999999999">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399999999999999">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399999999999999">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399999999999999">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399999999999999">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399999999999999">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399999999999999">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399999999999999">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399999999999999">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399999999999999">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399999999999999">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399999999999999">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399999999999999">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399999999999999">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399999999999999">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399999999999999">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399999999999999">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399999999999999">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399999999999999">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399999999999999">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399999999999999">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399999999999999">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399999999999999">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399999999999999">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399999999999999">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399999999999999">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399999999999999">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399999999999999">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399999999999999">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399999999999999">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399999999999999">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399999999999999">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399999999999999">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399999999999999">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399999999999999">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399999999999999">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399999999999999">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399999999999999">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399999999999999">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399999999999999">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399999999999999">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399999999999999">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399999999999999">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399999999999999">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399999999999999">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399999999999999">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399999999999999">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399999999999999">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399999999999999">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399999999999999">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399999999999999">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399999999999999">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399999999999999">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399999999999999">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399999999999999">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399999999999999">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399999999999999">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399999999999999">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399999999999999">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399999999999999">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399999999999999">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399999999999999">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399999999999999">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399999999999999">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399999999999999">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399999999999999">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399999999999999">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399999999999999">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399999999999999">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399999999999999">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399999999999999">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399999999999999">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399999999999999">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399999999999999">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399999999999999">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399999999999999">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399999999999999">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399999999999999">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399999999999999">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399999999999999">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399999999999999">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399999999999999">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399999999999999">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399999999999999">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399999999999999">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399999999999999">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399999999999999">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399999999999999">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399999999999999">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399999999999999">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399999999999999">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399999999999999">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399999999999999">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399999999999999">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399999999999999">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399999999999999">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399999999999999">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399999999999999">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399999999999999">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399999999999999">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399999999999999">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399999999999999">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399999999999999">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399999999999999">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399999999999999">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399999999999999">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399999999999999">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399999999999999">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399999999999999">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399999999999999">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399999999999999">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399999999999999">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399999999999999">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399999999999999">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399999999999999">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399999999999999">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399999999999999">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399999999999999">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399999999999999">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399999999999999">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399999999999999">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399999999999999">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399999999999999">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399999999999999">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399999999999999">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399999999999999">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399999999999999">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399999999999999">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399999999999999">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399999999999999">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399999999999999">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399999999999999">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399999999999999">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399999999999999">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399999999999999">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399999999999999">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399999999999999">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399999999999999">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399999999999999">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399999999999999">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399999999999999">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399999999999999">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399999999999999">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399999999999999">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399999999999999">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399999999999999">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399999999999999">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399999999999999">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399999999999999">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399999999999999">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399999999999999">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399999999999999">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399999999999999">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399999999999999">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399999999999999">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399999999999999">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399999999999999">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399999999999999">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399999999999999">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399999999999999">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399999999999999">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399999999999999">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399999999999999">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399999999999999">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399999999999999">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399999999999999">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399999999999999">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399999999999999">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399999999999999">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399999999999999">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399999999999999">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399999999999999">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399999999999999">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399999999999999">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399999999999999">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399999999999999">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399999999999999">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399999999999999">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399999999999999">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399999999999999">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399999999999999">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399999999999999">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399999999999999">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399999999999999">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399999999999999">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399999999999999">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399999999999999">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399999999999999">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399999999999999">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399999999999999">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399999999999999">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399999999999999">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399999999999999">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399999999999999">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399999999999999">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399999999999999">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399999999999999">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399999999999999">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399999999999999">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399999999999999">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399999999999999">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399999999999999">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399999999999999">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399999999999999">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399999999999999">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399999999999999">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399999999999999">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399999999999999">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399999999999999">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399999999999999">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399999999999999">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399999999999999">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399999999999999">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399999999999999">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399999999999999">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399999999999999">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399999999999999">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399999999999999">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399999999999999">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399999999999999">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399999999999999">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399999999999999">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399999999999999">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399999999999999">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399999999999999">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399999999999999">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399999999999999">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399999999999999">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399999999999999">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399999999999999">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399999999999999">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399999999999999">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399999999999999">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399999999999999">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399999999999999">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399999999999999">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399999999999999">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399999999999999">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399999999999999">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399999999999999">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399999999999999">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399999999999999">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399999999999999">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399999999999999">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399999999999999">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399999999999999">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399999999999999">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399999999999999">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399999999999999">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399999999999999">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399999999999999">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399999999999999">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399999999999999">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399999999999999">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399999999999999">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399999999999999">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399999999999999">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399999999999999">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399999999999999">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399999999999999">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399999999999999">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399999999999999">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399999999999999">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399999999999999">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399999999999999">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399999999999999">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399999999999999">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399999999999999">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399999999999999">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399999999999999">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399999999999999">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399999999999999">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399999999999999">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399999999999999">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399999999999999">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399999999999999">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399999999999999">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399999999999999">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399999999999999">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399999999999999">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399999999999999">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399999999999999">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399999999999999">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399999999999999">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399999999999999">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399999999999999">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399999999999999">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399999999999999">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399999999999999">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399999999999999">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399999999999999">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399999999999999">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399999999999999">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399999999999999">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399999999999999">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399999999999999">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399999999999999">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399999999999999">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399999999999999">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399999999999999">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399999999999999">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399999999999999">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399999999999999">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399999999999999">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399999999999999">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399999999999999">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399999999999999">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399999999999999">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399999999999999">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399999999999999">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399999999999999">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399999999999999">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399999999999999">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399999999999999">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399999999999999">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399999999999999">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399999999999999">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399999999999999">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399999999999999">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399999999999999">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399999999999999">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399999999999999">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399999999999999">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399999999999999">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399999999999999">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399999999999999">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399999999999999">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399999999999999">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399999999999999">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399999999999999">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399999999999999">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399999999999999">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399999999999999">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399999999999999">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399999999999999">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399999999999999">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399999999999999">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399999999999999">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399999999999999">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399999999999999">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399999999999999">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399999999999999">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399999999999999">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399999999999999">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399999999999999">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399999999999999">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399999999999999">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399999999999999">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399999999999999">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399999999999999">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399999999999999">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399999999999999">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399999999999999">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399999999999999">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399999999999999">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399999999999999">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399999999999999">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399999999999999">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399999999999999">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399999999999999">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399999999999999">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399999999999999">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399999999999999">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399999999999999">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399999999999999">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399999999999999">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399999999999999">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399999999999999">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399999999999999">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399999999999999">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399999999999999">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399999999999999">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399999999999999">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399999999999999">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399999999999999">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399999999999999">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399999999999999">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399999999999999">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399999999999999">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399999999999999">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399999999999999">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399999999999999">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399999999999999">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399999999999999">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399999999999999">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399999999999999">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399999999999999">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399999999999999">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399999999999999">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399999999999999">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399999999999999">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399999999999999">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399999999999999">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399999999999999">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399999999999999">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399999999999999">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399999999999999">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399999999999999">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399999999999999">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399999999999999">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399999999999999">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399999999999999">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399999999999999">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399999999999999">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399999999999999">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399999999999999">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399999999999999">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399999999999999">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399999999999999">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399999999999999">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399999999999999">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399999999999999">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399999999999999">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399999999999999">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399999999999999">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399999999999999">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399999999999999">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399999999999999">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399999999999999">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399999999999999">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399999999999999">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399999999999999">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399999999999999">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399999999999999">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399999999999999">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399999999999999">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399999999999999">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399999999999999">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399999999999999">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399999999999999">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399999999999999">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399999999999999">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399999999999999">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399999999999999">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399999999999999">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399999999999999">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399999999999999">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399999999999999">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399999999999999">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399999999999999">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399999999999999">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399999999999999">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399999999999999">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399999999999999">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399999999999999">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399999999999999">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399999999999999">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399999999999999">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399999999999999">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399999999999999">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399999999999999">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399999999999999">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399999999999999">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399999999999999">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399999999999999">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399999999999999">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399999999999999">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399999999999999">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399999999999999">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399999999999999">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399999999999999">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399999999999999">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399999999999999">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399999999999999">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399999999999999">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399999999999999">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399999999999999">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399999999999999">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399999999999999">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399999999999999">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399999999999999">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399999999999999">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399999999999999">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399999999999999">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399999999999999">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399999999999999">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399999999999999">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399999999999999">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399999999999999">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399999999999999">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399999999999999">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399999999999999">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399999999999999">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399999999999999">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399999999999999">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399999999999999">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399999999999999">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399999999999999">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399999999999999">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399999999999999">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399999999999999">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399999999999999">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399999999999999">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399999999999999">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399999999999999">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399999999999999">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399999999999999">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399999999999999">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399999999999999">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399999999999999">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399999999999999">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399999999999999">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399999999999999">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399999999999999">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399999999999999">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399999999999999">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399999999999999">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399999999999999">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399999999999999">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399999999999999">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399999999999999">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399999999999999">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399999999999999">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399999999999999">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399999999999999">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399999999999999">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399999999999999">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399999999999999">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399999999999999">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399999999999999">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399999999999999">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399999999999999">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399999999999999">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399999999999999">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399999999999999">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399999999999999">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399999999999999">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399999999999999">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399999999999999">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399999999999999">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399999999999999">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399999999999999">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399999999999999">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399999999999999">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399999999999999">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399999999999999">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399999999999999">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399999999999999">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399999999999999">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399999999999999">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399999999999999">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399999999999999">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399999999999999">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399999999999999">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399999999999999">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399999999999999">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399999999999999">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399999999999999">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399999999999999">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399999999999999">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399999999999999">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399999999999999">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399999999999999">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399999999999999">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399999999999999">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399999999999999">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399999999999999">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399999999999999">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399999999999999">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399999999999999">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399999999999999">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399999999999999">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399999999999999">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399999999999999">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399999999999999">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399999999999999">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399999999999999">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399999999999999">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399999999999999">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399999999999999">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399999999999999">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399999999999999">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399999999999999">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399999999999999">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399999999999999">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399999999999999">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399999999999999">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399999999999999">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399999999999999">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399999999999999">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399999999999999">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399999999999999">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399999999999999">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399999999999999">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399999999999999">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399999999999999">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399999999999999">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399999999999999">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399999999999999">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399999999999999">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399999999999999">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399999999999999">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399999999999999">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399999999999999">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399999999999999">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399999999999999">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399999999999999">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399999999999999">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399999999999999">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399999999999999">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399999999999999">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399999999999999">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399999999999999">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399999999999999">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399999999999999">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399999999999999">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399999999999999">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399999999999999">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399999999999999">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399999999999999">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399999999999999">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399999999999999">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399999999999999">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399999999999999">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399999999999999">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399999999999999">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399999999999999">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399999999999999">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399999999999999">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399999999999999">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399999999999999">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399999999999999">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399999999999999">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399999999999999">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399999999999999">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399999999999999">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399999999999999">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399999999999999">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399999999999999">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399999999999999">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399999999999999">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399999999999999">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399999999999999">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399999999999999">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399999999999999">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399999999999999">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399999999999999">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399999999999999">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399999999999999">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399999999999999">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399999999999999">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399999999999999">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399999999999999">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399999999999999">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399999999999999">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399999999999999">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399999999999999">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399999999999999">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399999999999999">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399999999999999">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399999999999999">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399999999999999">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399999999999999">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399999999999999">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399999999999999">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399999999999999">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399999999999999">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399999999999999">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399999999999999">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399999999999999">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399999999999999">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399999999999999">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399999999999999">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399999999999999">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399999999999999">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399999999999999">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399999999999999">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399999999999999">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399999999999999">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399999999999999">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399999999999999">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399999999999999">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399999999999999">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399999999999999">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399999999999999">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399999999999999">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399999999999999">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399999999999999">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399999999999999">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399999999999999">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399999999999999">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399999999999999">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399999999999999">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399999999999999">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399999999999999">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399999999999999">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399999999999999">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399999999999999">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399999999999999">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399999999999999">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399999999999999">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399999999999999">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399999999999999">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399999999999999">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399999999999999">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399999999999999">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399999999999999">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399999999999999">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399999999999999">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399999999999999">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399999999999999">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399999999999999">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399999999999999">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399999999999999">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399999999999999">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399999999999999">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399999999999999">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399999999999999">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399999999999999">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399999999999999">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399999999999999">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399999999999999">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399999999999999">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399999999999999">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399999999999999">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399999999999999">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399999999999999">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399999999999999">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399999999999999">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399999999999999">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399999999999999">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399999999999999">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399999999999999">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399999999999999">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399999999999999">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399999999999999">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399999999999999">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399999999999999">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399999999999999">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399999999999999">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399999999999999">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399999999999999">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399999999999999">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399999999999999">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399999999999999">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399999999999999">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399999999999999">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399999999999999">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399999999999999">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399999999999999">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399999999999999">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399999999999999">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399999999999999">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399999999999999">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399999999999999">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399999999999999">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399999999999999">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399999999999999">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399999999999999">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399999999999999">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399999999999999">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399999999999999">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399999999999999">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399999999999999">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399999999999999">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399999999999999">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399999999999999">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399999999999999">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399999999999999">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399999999999999">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399999999999999">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399999999999999">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399999999999999">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399999999999999">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399999999999999">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399999999999999">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399999999999999">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399999999999999">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399999999999999">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399999999999999">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399999999999999">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399999999999999">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399999999999999">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399999999999999">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399999999999999">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399999999999999">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399999999999999">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399999999999999">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399999999999999">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399999999999999">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399999999999999">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399999999999999">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399999999999999">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399999999999999">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399999999999999">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399999999999999">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399999999999999">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399999999999999">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399999999999999">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399999999999999">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399999999999999">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399999999999999">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399999999999999">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399999999999999">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399999999999999">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399999999999999">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399999999999999">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399999999999999">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399999999999999">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399999999999999">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399999999999999">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399999999999999">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399999999999999">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399999999999999">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399999999999999">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399999999999999">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399999999999999">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399999999999999">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399999999999999">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399999999999999">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399999999999999">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399999999999999">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399999999999999">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399999999999999">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399999999999999">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399999999999999">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399999999999999">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399999999999999">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399999999999999">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399999999999999">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399999999999999">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399999999999999">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399999999999999">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399999999999999">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399999999999999">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399999999999999">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399999999999999">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399999999999999">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399999999999999">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399999999999999">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399999999999999">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399999999999999">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399999999999999">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399999999999999">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399999999999999">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399999999999999">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399999999999999">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399999999999999">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399999999999999">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399999999999999">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399999999999999">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399999999999999">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399999999999999">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399999999999999">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399999999999999">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399999999999999">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399999999999999">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399999999999999">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399999999999999">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399999999999999">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399999999999999">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399999999999999">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399999999999999">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399999999999999">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399999999999999">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399999999999999">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399999999999999">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399999999999999">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399999999999999">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399999999999999">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399999999999999">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399999999999999">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399999999999999">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399999999999999">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399999999999999">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399999999999999">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399999999999999">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399999999999999">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399999999999999">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399999999999999">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399999999999999">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399999999999999">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399999999999999">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399999999999999">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399999999999999">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399999999999999">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399999999999999">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399999999999999">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399999999999999">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399999999999999">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399999999999999">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399999999999999">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399999999999999">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399999999999999">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399999999999999">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399999999999999">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399999999999999">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399999999999999">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399999999999999">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399999999999999">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399999999999999">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399999999999999">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399999999999999">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399999999999999">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399999999999999">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399999999999999">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399999999999999">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399999999999999">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399999999999999">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399999999999999">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399999999999999">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399999999999999">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399999999999999">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399999999999999">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399999999999999">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399999999999999">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399999999999999">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399999999999999">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399999999999999">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399999999999999">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399999999999999">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399999999999999">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399999999999999">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399999999999999">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399999999999999">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399999999999999">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399999999999999">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399999999999999">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399999999999999">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399999999999999">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399999999999999">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399999999999999">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399999999999999">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399999999999999">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399999999999999">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399999999999999">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399999999999999">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399999999999999">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399999999999999">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399999999999999">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399999999999999">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399999999999999">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399999999999999">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399999999999999">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399999999999999">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399999999999999">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399999999999999">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399999999999999">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399999999999999">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399999999999999">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399999999999999">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399999999999999">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399999999999999">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399999999999999">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399999999999999">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399999999999999">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399999999999999">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399999999999999">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399999999999999">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399999999999999">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399999999999999">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399999999999999">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399999999999999">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399999999999999">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399999999999999">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399999999999999">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399999999999999">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399999999999999">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399999999999999">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399999999999999">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399999999999999">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399999999999999">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399999999999999">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399999999999999">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399999999999999">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399999999999999">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399999999999999">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399999999999999">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399999999999999">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399999999999999">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399999999999999">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399999999999999">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399999999999999">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399999999999999">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399999999999999">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399999999999999">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399999999999999">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399999999999999">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399999999999999">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399999999999999">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399999999999999">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399999999999999">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399999999999999">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399999999999999">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399999999999999">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399999999999999">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399999999999999">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399999999999999">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399999999999999">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399999999999999">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399999999999999">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399999999999999">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399999999999999">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399999999999999">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399999999999999">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399999999999999">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399999999999999">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399999999999999">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399999999999999">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399999999999999">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399999999999999">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399999999999999">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399999999999999">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399999999999999">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399999999999999">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399999999999999">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399999999999999">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399999999999999">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399999999999999">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399999999999999">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399999999999999">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399999999999999">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399999999999999">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399999999999999">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399999999999999">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399999999999999">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399999999999999">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399999999999999">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399999999999999">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399999999999999">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399999999999999">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399999999999999">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399999999999999">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399999999999999">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399999999999999">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399999999999999">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399999999999999">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399999999999999">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399999999999999">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399999999999999">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399999999999999">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399999999999999">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399999999999999">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399999999999999">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399999999999999">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399999999999999">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399999999999999">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399999999999999">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399999999999999">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399999999999999">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399999999999999">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399999999999999">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399999999999999">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399999999999999">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399999999999999">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399999999999999">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399999999999999">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399999999999999">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399999999999999">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399999999999999">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399999999999999">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399999999999999">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399999999999999">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399999999999999">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399999999999999">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399999999999999">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399999999999999">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399999999999999">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399999999999999">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399999999999999">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399999999999999">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399999999999999">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399999999999999">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399999999999999">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399999999999999">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399999999999999">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399999999999999">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399999999999999">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399999999999999">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399999999999999">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399999999999999">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399999999999999">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399999999999999">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399999999999999">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399999999999999">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399999999999999">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399999999999999">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399999999999999">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399999999999999">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399999999999999">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399999999999999">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399999999999999">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399999999999999">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399999999999999">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399999999999999">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399999999999999">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399999999999999">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399999999999999">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399999999999999">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399999999999999">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399999999999999">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399999999999999">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399999999999999">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399999999999999">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399999999999999">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399999999999999">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399999999999999">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399999999999999">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399999999999999">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399999999999999">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399999999999999">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399999999999999">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399999999999999">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399999999999999">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399999999999999">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399999999999999">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399999999999999">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399999999999999">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399999999999999">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399999999999999">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399999999999999">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399999999999999">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399999999999999">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399999999999999">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399999999999999">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399999999999999">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399999999999999">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399999999999999">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399999999999999">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399999999999999">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399999999999999">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399999999999999">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399999999999999">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399999999999999">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399999999999999">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399999999999999">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399999999999999">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399999999999999">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399999999999999">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399999999999999">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399999999999999">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399999999999999">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399999999999999">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399999999999999">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399999999999999">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399999999999999">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399999999999999">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399999999999999">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399999999999999">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399999999999999">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399999999999999">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399999999999999">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399999999999999">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399999999999999">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399999999999999">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399999999999999">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399999999999999">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399999999999999">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399999999999999">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399999999999999">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399999999999999">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399999999999999">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399999999999999">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399999999999999">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399999999999999">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399999999999999">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399999999999999">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399999999999999">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399999999999999">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399999999999999">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399999999999999">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399999999999999">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399999999999999">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399999999999999">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399999999999999">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399999999999999">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399999999999999">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399999999999999">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399999999999999">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399999999999999">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399999999999999">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399999999999999">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399999999999999">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399999999999999">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399999999999999">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399999999999999">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399999999999999">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399999999999999">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399999999999999">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399999999999999">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399999999999999">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399999999999999">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399999999999999">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399999999999999">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399999999999999">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399999999999999">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399999999999999">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399999999999999">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399999999999999">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399999999999999">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399999999999999">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399999999999999">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399999999999999">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399999999999999">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399999999999999">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399999999999999">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399999999999999">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399999999999999">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399999999999999">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399999999999999">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399999999999999">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399999999999999">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399999999999999">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399999999999999">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399999999999999">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399999999999999">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399999999999999">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399999999999999">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399999999999999">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399999999999999">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399999999999999">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399999999999999">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399999999999999">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399999999999999">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399999999999999">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399999999999999">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399999999999999">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399999999999999">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399999999999999">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399999999999999">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399999999999999">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399999999999999">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399999999999999">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399999999999999">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399999999999999">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399999999999999">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399999999999999">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399999999999999">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399999999999999">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399999999999999">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399999999999999">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399999999999999">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399999999999999">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399999999999999">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399999999999999">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399999999999999">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399999999999999">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399999999999999">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399999999999999">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399999999999999">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399999999999999">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399999999999999">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399999999999999">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399999999999999">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399999999999999">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399999999999999">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399999999999999">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399999999999999">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399999999999999">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399999999999999">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399999999999999">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399999999999999">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399999999999999">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399999999999999">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399999999999999">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399999999999999">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399999999999999">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399999999999999">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399999999999999">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399999999999999">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399999999999999">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399999999999999">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399999999999999">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399999999999999">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399999999999999">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399999999999999">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399999999999999">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399999999999999">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399999999999999">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399999999999999">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399999999999999">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399999999999999">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399999999999999">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399999999999999">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399999999999999">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399999999999999">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399999999999999">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399999999999999">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399999999999999">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399999999999999">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399999999999999">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399999999999999">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399999999999999">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399999999999999">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399999999999999">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399999999999999">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399999999999999">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399999999999999">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399999999999999">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399999999999999">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399999999999999">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399999999999999">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399999999999999">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399999999999999">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399999999999999">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399999999999999">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399999999999999">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399999999999999">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399999999999999">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399999999999999">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399999999999999">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399999999999999">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399999999999999">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399999999999999">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399999999999999">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399999999999999">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399999999999999">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399999999999999">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399999999999999">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399999999999999">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399999999999999">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399999999999999">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399999999999999">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399999999999999">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399999999999999">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399999999999999">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399999999999999">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399999999999999">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399999999999999">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399999999999999">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399999999999999">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399999999999999">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399999999999999">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399999999999999">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399999999999999">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399999999999999">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399999999999999">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399999999999999">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399999999999999">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399999999999999">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399999999999999">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399999999999999">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399999999999999">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399999999999999">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399999999999999">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399999999999999">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399999999999999">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399999999999999">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399999999999999">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399999999999999">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399999999999999">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399999999999999">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399999999999999">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399999999999999">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399999999999999">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399999999999999">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399999999999999">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399999999999999">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399999999999999">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399999999999999">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399999999999999">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399999999999999">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399999999999999">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399999999999999">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399999999999999">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399999999999999">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399999999999999">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399999999999999">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399999999999999">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399999999999999">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399999999999999">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399999999999999">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399999999999999">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399999999999999">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399999999999999">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399999999999999">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399999999999999">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399999999999999">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399999999999999">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399999999999999">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399999999999999">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399999999999999">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399999999999999">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399999999999999">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399999999999999">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399999999999999">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399999999999999">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399999999999999">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399999999999999">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399999999999999">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399999999999999">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399999999999999">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399999999999999">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399999999999999">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399999999999999">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399999999999999">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399999999999999">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399999999999999">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399999999999999">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399999999999999">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399999999999999">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399999999999999">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399999999999999">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399999999999999">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399999999999999">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399999999999999">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399999999999999">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399999999999999">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399999999999999">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399999999999999">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399999999999999">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399999999999999">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399999999999999">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399999999999999">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399999999999999">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399999999999999">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399999999999999">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399999999999999">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399999999999999">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399999999999999">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399999999999999">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399999999999999">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399999999999999">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399999999999999">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399999999999999">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399999999999999">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399999999999999">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399999999999999">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399999999999999">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399999999999999">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399999999999999">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399999999999999">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399999999999999">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399999999999999">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399999999999999">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399999999999999">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399999999999999">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399999999999999">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399999999999999">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399999999999999">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399999999999999">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399999999999999">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399999999999999">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399999999999999">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399999999999999">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399999999999999">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399999999999999">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399999999999999">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399999999999999">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399999999999999">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399999999999999">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399999999999999">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399999999999999">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399999999999999">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399999999999999">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399999999999999">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399999999999999">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399999999999999">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399999999999999">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399999999999999">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399999999999999">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399999999999999">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399999999999999">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399999999999999">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399999999999999">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399999999999999">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399999999999999">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399999999999999">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399999999999999">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399999999999999">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399999999999999">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399999999999999">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399999999999999">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399999999999999">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399999999999999">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399999999999999">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399999999999999">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399999999999999">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399999999999999">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399999999999999">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399999999999999">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399999999999999">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399999999999999">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399999999999999">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399999999999999">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399999999999999">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399999999999999">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399999999999999">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399999999999999">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399999999999999">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399999999999999">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399999999999999">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399999999999999">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399999999999999">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399999999999999">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399999999999999">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399999999999999">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399999999999999">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399999999999999">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399999999999999">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399999999999999">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399999999999999">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399999999999999">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399999999999999">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399999999999999">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399999999999999">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399999999999999">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399999999999999">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399999999999999">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399999999999999">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399999999999999">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399999999999999">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399999999999999">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399999999999999">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399999999999999">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399999999999999">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399999999999999">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399999999999999">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399999999999999">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399999999999999">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399999999999999">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399999999999999">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399999999999999">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399999999999999">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399999999999999">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399999999999999">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399999999999999">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399999999999999">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399999999999999">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399999999999999">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399999999999999">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399999999999999">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399999999999999">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399999999999999">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399999999999999">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399999999999999">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399999999999999">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399999999999999">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399999999999999">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399999999999999">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399999999999999">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399999999999999">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399999999999999">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399999999999999">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399999999999999">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399999999999999">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399999999999999">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399999999999999">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399999999999999">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399999999999999">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399999999999999">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399999999999999">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399999999999999">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399999999999999">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399999999999999">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399999999999999">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399999999999999">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399999999999999">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399999999999999">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399999999999999">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399999999999999">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399999999999999">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399999999999999">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399999999999999">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399999999999999">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399999999999999">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399999999999999">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399999999999999">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399999999999999">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399999999999999">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399999999999999">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399999999999999">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399999999999999">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399999999999999">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399999999999999">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399999999999999">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399999999999999">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399999999999999">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399999999999999">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399999999999999">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399999999999999">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399999999999999">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399999999999999">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399999999999999">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399999999999999">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399999999999999">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399999999999999">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399999999999999">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399999999999999">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399999999999999">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399999999999999">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399999999999999">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399999999999999">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399999999999999">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399999999999999">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399999999999999">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399999999999999">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399999999999999">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399999999999999">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399999999999999">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399999999999999">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399999999999999">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399999999999999">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399999999999999">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399999999999999">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399999999999999">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399999999999999">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399999999999999">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399999999999999">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399999999999999">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399999999999999">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399999999999999">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399999999999999">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399999999999999">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399999999999999">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399999999999999">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399999999999999">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399999999999999">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399999999999999">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399999999999999">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399999999999999">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399999999999999">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399999999999999">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399999999999999">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399999999999999">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399999999999999">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399999999999999">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399999999999999">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399999999999999">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399999999999999">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399999999999999">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399999999999999">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399999999999999">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399999999999999">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399999999999999">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399999999999999">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399999999999999">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399999999999999">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399999999999999">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399999999999999">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399999999999999">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399999999999999">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399999999999999">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399999999999999">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399999999999999">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399999999999999">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399999999999999">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399999999999999">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399999999999999">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399999999999999">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399999999999999">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399999999999999">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399999999999999">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399999999999999">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399999999999999">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399999999999999">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8"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2" thickTop="1">
      <c r="U2506" s="282"/>
      <c r="V2506" s="282"/>
      <c r="W2506" s="282"/>
      <c r="X2506" s="282"/>
      <c r="Y2506" s="282"/>
      <c r="Z2506" s="282"/>
    </row>
    <row r="2507" spans="1:28">
      <c r="U2507" s="282"/>
      <c r="V2507" s="282"/>
      <c r="W2507" s="282"/>
      <c r="X2507" s="282"/>
      <c r="Y2507" s="282"/>
      <c r="Z2507" s="282"/>
    </row>
    <row r="2508" spans="1:28" ht="13.2"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60" priority="38" stopIfTrue="1">
      <formula>IF(B586="",TRUE)</formula>
    </cfRule>
    <cfRule type="expression" dxfId="59" priority="49" stopIfTrue="1">
      <formula>IF(AND(COUNTIF(MetalSmelter,B586&amp;C586)=0,LEN(C586)&gt;0),TRUE,FALSE)</formula>
    </cfRule>
  </conditionalFormatting>
  <conditionalFormatting sqref="D586:D2504">
    <cfRule type="expression" dxfId="58" priority="32" stopIfTrue="1">
      <formula>IF(AND(LEN($C586)&gt;0,($C586&lt;&gt;"Smelter Not Listed")),1,0)</formula>
    </cfRule>
    <cfRule type="expression" dxfId="57" priority="57" stopIfTrue="1">
      <formula>IF(AND(D586="",$C586=$X$4),TRUE)</formula>
    </cfRule>
    <cfRule type="expression" dxfId="56" priority="58" stopIfTrue="1">
      <formula>IF(FIND("!",D586),TRUE)</formula>
    </cfRule>
  </conditionalFormatting>
  <conditionalFormatting sqref="G586:G2504">
    <cfRule type="expression" dxfId="55" priority="59" stopIfTrue="1">
      <formula>IF(FIND("Enter smelter details",G586),TRUE)</formula>
    </cfRule>
  </conditionalFormatting>
  <conditionalFormatting sqref="R586:R2505 E586:E2504">
    <cfRule type="expression" dxfId="54" priority="45" stopIfTrue="1">
      <formula>IF(AND(E586="",$C586=$X$4),TRUE)</formula>
    </cfRule>
    <cfRule type="expression" dxfId="53" priority="46" stopIfTrue="1">
      <formula>IF(FIND("!",E586),TRUE)</formula>
    </cfRule>
  </conditionalFormatting>
  <conditionalFormatting sqref="F586:F2504">
    <cfRule type="expression" dxfId="52" priority="36" stopIfTrue="1">
      <formula>IF(AND(LEN($A586)&gt;0,$A586&lt;&gt;$F586),TRUE,FALSE)</formula>
    </cfRule>
  </conditionalFormatting>
  <conditionalFormatting sqref="C586:C2504">
    <cfRule type="expression" dxfId="51" priority="35" stopIfTrue="1">
      <formula>IF(AND(B586&lt;&gt;"",C586=""),TRUE)</formula>
    </cfRule>
  </conditionalFormatting>
  <conditionalFormatting sqref="B21:B585 B5:B19">
    <cfRule type="expression" dxfId="50" priority="14" stopIfTrue="1">
      <formula>IF(B5="",TRUE)</formula>
    </cfRule>
    <cfRule type="expression" dxfId="49" priority="17" stopIfTrue="1">
      <formula>IF(AND(COUNTIF(MetalSmelter,B5&amp;C5)=0,LEN(C5)&gt;0),TRUE,FALSE)</formula>
    </cfRule>
  </conditionalFormatting>
  <conditionalFormatting sqref="D5:D19 D21:D585">
    <cfRule type="expression" dxfId="48" priority="11" stopIfTrue="1">
      <formula>IF(AND(LEN($C5)&gt;0,($C5&lt;&gt;"Smelter Not Listed")),1,0)</formula>
    </cfRule>
    <cfRule type="expression" dxfId="47" priority="18" stopIfTrue="1">
      <formula>IF(AND(D5="",$C5=$X$4),TRUE)</formula>
    </cfRule>
    <cfRule type="expression" dxfId="46" priority="19" stopIfTrue="1">
      <formula>IF(FIND("!",D5),TRUE)</formula>
    </cfRule>
  </conditionalFormatting>
  <conditionalFormatting sqref="G5:G19 G21:G585">
    <cfRule type="expression" dxfId="45" priority="20" stopIfTrue="1">
      <formula>IF(FIND("Enter smelter details",G5),TRUE)</formula>
    </cfRule>
  </conditionalFormatting>
  <conditionalFormatting sqref="R5:R585 E5:E19 E21:E585">
    <cfRule type="expression" dxfId="44" priority="15" stopIfTrue="1">
      <formula>IF(AND(E5="",$C5=$X$4),TRUE)</formula>
    </cfRule>
    <cfRule type="expression" dxfId="43" priority="16" stopIfTrue="1">
      <formula>IF(FIND("!",E5),TRUE)</formula>
    </cfRule>
  </conditionalFormatting>
  <conditionalFormatting sqref="F5:F19 F21:F585">
    <cfRule type="expression" dxfId="42" priority="13" stopIfTrue="1">
      <formula>IF(AND(LEN($A5)&gt;0,$A5&lt;&gt;$F5),TRUE,FALSE)</formula>
    </cfRule>
  </conditionalFormatting>
  <conditionalFormatting sqref="C21:C585 C5:C19">
    <cfRule type="expression" dxfId="41" priority="12" stopIfTrue="1">
      <formula>IF(AND(B5&lt;&gt;"",C5=""),TRUE)</formula>
    </cfRule>
  </conditionalFormatting>
  <conditionalFormatting sqref="B20">
    <cfRule type="expression" dxfId="40" priority="4" stopIfTrue="1">
      <formula>IF(B20="",TRUE)</formula>
    </cfRule>
    <cfRule type="expression" dxfId="39" priority="7" stopIfTrue="1">
      <formula>IF(AND(COUNTIF(MetalSmelter,B20&amp;C20)=0,LEN(C20)&gt;0),TRUE,FALSE)</formula>
    </cfRule>
  </conditionalFormatting>
  <conditionalFormatting sqref="D20">
    <cfRule type="expression" dxfId="38" priority="1" stopIfTrue="1">
      <formula>IF(AND(LEN($C20)&gt;0,($C20&lt;&gt;"Smelter Not Listed")),1,0)</formula>
    </cfRule>
    <cfRule type="expression" dxfId="37" priority="8" stopIfTrue="1">
      <formula>IF(AND(D20="",$C20=$X$4),TRUE)</formula>
    </cfRule>
    <cfRule type="expression" dxfId="36" priority="9" stopIfTrue="1">
      <formula>IF(FIND("!",D20),TRUE)</formula>
    </cfRule>
  </conditionalFormatting>
  <conditionalFormatting sqref="G20">
    <cfRule type="expression" dxfId="35" priority="10" stopIfTrue="1">
      <formula>IF(FIND("Enter smelter details",G20),TRUE)</formula>
    </cfRule>
  </conditionalFormatting>
  <conditionalFormatting sqref="E20">
    <cfRule type="expression" dxfId="34" priority="5" stopIfTrue="1">
      <formula>IF(AND(E20="",$C20=$X$4),TRUE)</formula>
    </cfRule>
    <cfRule type="expression" dxfId="33" priority="6" stopIfTrue="1">
      <formula>IF(FIND("!",E20),TRUE)</formula>
    </cfRule>
  </conditionalFormatting>
  <conditionalFormatting sqref="F20">
    <cfRule type="expression" dxfId="32" priority="3" stopIfTrue="1">
      <formula>IF(AND(LEN($A20)&gt;0,$A20&lt;&gt;$F20),TRUE,FALSE)</formula>
    </cfRule>
  </conditionalFormatting>
  <conditionalFormatting sqref="C20">
    <cfRule type="expression" dxfId="31"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tabSelected="1"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hidden="1" customWidth="1"/>
    <col min="6" max="6" width="13.6328125" style="22" hidden="1" customWidth="1"/>
    <col min="7" max="7" width="13.36328125" style="22" hidden="1" customWidth="1"/>
    <col min="8" max="8" width="9" style="22" hidden="1" customWidth="1"/>
    <col min="9" max="9" width="9" style="178" hidden="1" customWidth="1"/>
    <col min="10" max="10" width="48.90625" style="22" hidden="1" customWidth="1"/>
    <col min="11" max="11" width="9" style="22" hidden="1" customWidth="1"/>
    <col min="12" max="14" width="8.90625" style="22" hidden="1" customWidth="1"/>
    <col min="15" max="18" width="8.90625" style="22" customWidth="1"/>
    <col min="19" max="16384" width="8.90625" style="22"/>
  </cols>
  <sheetData>
    <row r="1" spans="1:10" ht="32.4">
      <c r="A1" s="438" t="str">
        <f ca="1">OFFSET(L!$C$1,MATCH("Checker"&amp;ADDRESS(ROW(),COLUMN(),4),L!$A:$A,0)-1,SL,,)</f>
        <v>To ensure all required fields have been populated before submitting to your customers review form for any line items highlighted in red</v>
      </c>
      <c r="B1" s="438"/>
      <c r="C1" s="438"/>
      <c r="D1" s="146" t="str">
        <f ca="1">OFFSET(L!$C$1,MATCH("Checker"&amp;ADDRESS(ROW(),COLUMN(),4),L!$A:$A,0)-1,SL,,)</f>
        <v>Required fields remaining to be completed</v>
      </c>
      <c r="E1" s="84" t="s">
        <v>827</v>
      </c>
    </row>
    <row r="2" spans="1:10" ht="16.2">
      <c r="A2" s="77" t="s">
        <v>921</v>
      </c>
      <c r="B2" s="78" t="str">
        <f>IF(F65=1,"Click here to return to Smelter List","")</f>
        <v/>
      </c>
      <c r="C2" s="150" t="str">
        <f>IF(F65=1,"Click here to return to Product List","")</f>
        <v/>
      </c>
      <c r="D2" s="183"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UKAD</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Production and sales of titanium semi-products</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Laurence Vialatte</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laurence.vialatte@eramet-ukad.com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+33 4 73 33 46 13</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Isabelle WIDMER</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isavbelle.widmer@eramet-ukad.com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44027</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831</v>
      </c>
      <c r="F13" s="106"/>
      <c r="G13" s="24"/>
      <c r="H13" s="83">
        <f t="shared" si="3"/>
        <v>0</v>
      </c>
    </row>
    <row r="14" spans="1:10" ht="26.4">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 xml:space="preserve">Tin  </v>
      </c>
      <c r="B15" s="102" t="str">
        <f>Declaration!D27</f>
        <v>No</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 xml:space="preserve">Gold  </v>
      </c>
      <c r="B16" s="102" t="str">
        <f>Declaration!D28</f>
        <v>No</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0.4">
      <c r="A18" s="102" t="str">
        <f ca="1">Declaration!B31</f>
        <v>2) Does any 3TG remain in the product(s)?</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 xml:space="preserve">Tin  </v>
      </c>
      <c r="B20" s="102">
        <f>IF($B$15="Yes",Declaration!D33,0)</f>
        <v>0</v>
      </c>
      <c r="C20" s="102" t="str">
        <f ca="1">IF(H20=1,J20,I20)</f>
        <v>Complete</v>
      </c>
      <c r="D20" s="110" t="str">
        <f>IF(H20=1,"Click here to answer question 2 for Tin","")</f>
        <v/>
      </c>
      <c r="E20" s="84" t="s">
        <v>828</v>
      </c>
      <c r="F20" s="107">
        <f>IF(B$15="No",0,1)</f>
        <v>0</v>
      </c>
      <c r="G20" s="81">
        <f>IF(B20=0,1,0)</f>
        <v>1</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 xml:space="preserve">Gold  </v>
      </c>
      <c r="B21" s="102">
        <f>IF($B$16="Yes",Declaration!D34,0)</f>
        <v>0</v>
      </c>
      <c r="C21" s="102" t="str">
        <f ca="1">IF(H21=1,J21,I21)</f>
        <v>Complete</v>
      </c>
      <c r="D21" s="110" t="str">
        <f>IF(H21=1,"Click here to answer question 2 for Gold","")</f>
        <v/>
      </c>
      <c r="E21" s="84" t="s">
        <v>828</v>
      </c>
      <c r="F21" s="107">
        <f>IF(B$16="No",0,1)</f>
        <v>0</v>
      </c>
      <c r="G21" s="81">
        <f>IF(B21=0,1,0)</f>
        <v>1</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 xml:space="preserve">Tin  </v>
      </c>
      <c r="B25" s="102">
        <f>IF(AND($B$15="Yes",$B$20="Yes"),Declaration!D39,0)</f>
        <v>0</v>
      </c>
      <c r="C25" s="102" t="str">
        <f ca="1">IF(H25=1,J25,I25)</f>
        <v>Complete</v>
      </c>
      <c r="D25" s="110" t="str">
        <f>IF(H25=1,"Click here to answer question 3 for Tin","")</f>
        <v/>
      </c>
      <c r="E25" s="84" t="s">
        <v>828</v>
      </c>
      <c r="F25" s="107">
        <f>IF(OR(B15="No",B20="No"),0,1)</f>
        <v>0</v>
      </c>
      <c r="G25" s="81">
        <f>IF(B25=0,1,0)</f>
        <v>1</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 xml:space="preserve">Gold  </v>
      </c>
      <c r="B26" s="102">
        <f>IF(AND($B$16="Yes",$B$21="Yes"),Declaration!D40,0)</f>
        <v>0</v>
      </c>
      <c r="C26" s="102" t="str">
        <f ca="1">IF(H26=1,J26,I26)</f>
        <v>Complete</v>
      </c>
      <c r="D26" s="110" t="str">
        <f>IF(H26=1,"Click here to answer question 3 for Gold","")</f>
        <v/>
      </c>
      <c r="E26" s="84" t="s">
        <v>828</v>
      </c>
      <c r="F26" s="107">
        <f>IF(OR(B16="No",B21="No"),0,1)</f>
        <v>0</v>
      </c>
      <c r="G26" s="81">
        <f>IF(B26=0,1,0)</f>
        <v>1</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 xml:space="preserve">Tin  </v>
      </c>
      <c r="B30" s="102">
        <f>IF(AND($B$15="Yes",$B$20="Yes"),Declaration!D45,0)</f>
        <v>0</v>
      </c>
      <c r="C30" s="102" t="str">
        <f ca="1">IF(H30=1,J30,I30)</f>
        <v>Complete</v>
      </c>
      <c r="D30" s="330" t="str">
        <f>IF(H30=1,"Click here to answer question 4 for Tin","")</f>
        <v/>
      </c>
      <c r="E30" s="84"/>
      <c r="F30" s="107">
        <f>F25</f>
        <v>0</v>
      </c>
      <c r="G30" s="81">
        <f>IF(B30=0,1,0)</f>
        <v>1</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 xml:space="preserve">Gold  </v>
      </c>
      <c r="B31" s="102">
        <f>IF(AND($B$16="Yes",$B$21="Yes"),Declaration!D46,0)</f>
        <v>0</v>
      </c>
      <c r="C31" s="102" t="str">
        <f ca="1">IF(H31=1,J31,I31)</f>
        <v>Complete</v>
      </c>
      <c r="D31" s="330" t="str">
        <f>IF(H31=1,"Click here to answer question 4 for Gold","")</f>
        <v/>
      </c>
      <c r="E31" s="84"/>
      <c r="F31" s="107">
        <f>F26</f>
        <v>0</v>
      </c>
      <c r="G31" s="81">
        <f>IF(B31=0,1,0)</f>
        <v>1</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 xml:space="preserve">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 xml:space="preserve">Tin  </v>
      </c>
      <c r="B35" s="102">
        <f>IF(AND($B$15="Yes",$B$20="Yes"),Declaration!D51,0)</f>
        <v>0</v>
      </c>
      <c r="C35" s="102" t="str">
        <f ca="1">IF(H35=1,J35,I35)</f>
        <v>Complete</v>
      </c>
      <c r="D35" s="330" t="str">
        <f>IF(H35=1,"Click here to answer question 5 for Tin","")</f>
        <v/>
      </c>
      <c r="E35" s="84" t="s">
        <v>1330</v>
      </c>
      <c r="F35" s="107">
        <f>F25</f>
        <v>0</v>
      </c>
      <c r="G35" s="81">
        <f>IF(B35=0,1,0)</f>
        <v>1</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 xml:space="preserve">Gold  </v>
      </c>
      <c r="B36" s="102">
        <f>IF(AND($B$16="Yes",$B$21="Yes"),Declaration!D52,0)</f>
        <v>0</v>
      </c>
      <c r="C36" s="102" t="str">
        <f ca="1">IF(H36=1,J36,I36)</f>
        <v>Complete</v>
      </c>
      <c r="D36" s="330" t="str">
        <f>IF(H36=1,"Click here to answer question 5 for Gold","")</f>
        <v/>
      </c>
      <c r="E36" s="84" t="s">
        <v>1330</v>
      </c>
      <c r="F36" s="107">
        <f>F26</f>
        <v>0</v>
      </c>
      <c r="G36" s="81">
        <f>IF(B36=0,1,0)</f>
        <v>1</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 xml:space="preserve">6) What percentage of relevant suppliers have provided a response to your supply chain survey? </v>
      </c>
      <c r="B38" s="105"/>
      <c r="C38" s="105"/>
      <c r="D38" s="109"/>
      <c r="E38" s="84" t="s">
        <v>828</v>
      </c>
      <c r="F38" s="106"/>
      <c r="G38" s="24"/>
      <c r="H38" s="24"/>
    </row>
    <row r="39" spans="1:10" ht="26.4">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 xml:space="preserve">Tin  </v>
      </c>
      <c r="B40" s="299">
        <f>IF(AND($B$15="Yes",$B$20="Yes"),Declaration!D57,0)</f>
        <v>0</v>
      </c>
      <c r="C40" s="102" t="str">
        <f ca="1">IF(H40=1,J40,I40)</f>
        <v>Complete</v>
      </c>
      <c r="D40" s="331" t="str">
        <f>IF(H40=1,"Click here to answer question 6 for Tin","")</f>
        <v/>
      </c>
      <c r="E40" s="84" t="s">
        <v>827</v>
      </c>
      <c r="F40" s="107">
        <f>F25</f>
        <v>0</v>
      </c>
      <c r="G40" s="81">
        <f>IF(B40=0,1,0)</f>
        <v>1</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 xml:space="preserve">Gold  </v>
      </c>
      <c r="B41" s="299">
        <f>IF(AND($B$16="Yes",$B$21="Yes"),Declaration!D58,0)</f>
        <v>0</v>
      </c>
      <c r="C41" s="102" t="str">
        <f ca="1">IF(H41=1,J41,I41)</f>
        <v>Complete</v>
      </c>
      <c r="D41" s="331" t="str">
        <f>IF(H41=1,"Click here to answer question 6 for Gold","")</f>
        <v/>
      </c>
      <c r="E41" s="84" t="s">
        <v>827</v>
      </c>
      <c r="F41" s="107">
        <f>F26</f>
        <v>0</v>
      </c>
      <c r="G41" s="81">
        <f>IF(B41=0,1,0)</f>
        <v>1</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 xml:space="preserve">7) Have you identified all of the smelters supplying the 3TG to your supply chain? </v>
      </c>
      <c r="B43" s="105"/>
      <c r="C43" s="105"/>
      <c r="D43" s="109"/>
      <c r="E43" s="84" t="s">
        <v>829</v>
      </c>
      <c r="F43" s="106"/>
      <c r="G43" s="24"/>
      <c r="H43" s="24"/>
    </row>
    <row r="44" spans="1:10" ht="51.6">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 xml:space="preserve">Tin  </v>
      </c>
      <c r="B45" s="102">
        <f>IF(AND($B$15="Yes",$B$20="Yes"),Declaration!D63,0)</f>
        <v>0</v>
      </c>
      <c r="C45" s="102" t="str">
        <f ca="1">IF(H45=1,J45,I45)</f>
        <v>Complete</v>
      </c>
      <c r="D45" s="330" t="str">
        <f>IF(H45=1,"Click here to answer question 7 for Tin","")</f>
        <v/>
      </c>
      <c r="E45" s="84" t="s">
        <v>1326</v>
      </c>
      <c r="F45" s="107">
        <f>F25</f>
        <v>0</v>
      </c>
      <c r="G45" s="81">
        <f>IF(B45=0,1,0)</f>
        <v>1</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 xml:space="preserve">Gold  </v>
      </c>
      <c r="B46" s="102">
        <f>IF(AND($B$16="Yes",$B$21="Yes"),Declaration!D64,0)</f>
        <v>0</v>
      </c>
      <c r="C46" s="102" t="str">
        <f ca="1">IF(H46=1,J46,I46)</f>
        <v>Complete</v>
      </c>
      <c r="D46" s="330" t="str">
        <f>IF(H46=1,"Click here to answer question 7 for Gold","")</f>
        <v/>
      </c>
      <c r="E46" s="84" t="s">
        <v>1326</v>
      </c>
      <c r="F46" s="107">
        <f>F26</f>
        <v>0</v>
      </c>
      <c r="G46" s="81">
        <f>IF(B46=0,1,0)</f>
        <v>1</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 xml:space="preserve">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 xml:space="preserve">Tin  </v>
      </c>
      <c r="B50" s="102">
        <f>IF(AND($B$15="Yes",$B$20="Yes"),Declaration!D69,0)</f>
        <v>0</v>
      </c>
      <c r="C50" s="102" t="str">
        <f ca="1">IF(H50=1,J50,I50)</f>
        <v>Complete</v>
      </c>
      <c r="D50" s="331" t="str">
        <f>IF(H50=1,"Click here to answer question 8 for Tin","")</f>
        <v/>
      </c>
      <c r="E50" s="84" t="s">
        <v>828</v>
      </c>
      <c r="F50" s="107">
        <f>F25</f>
        <v>0</v>
      </c>
      <c r="G50" s="81">
        <f>IF(B50=0,1,0)</f>
        <v>1</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 xml:space="preserve">Gold  </v>
      </c>
      <c r="B51" s="102">
        <f>IF(AND($B$16="Yes",$B$21="Yes"),Declaration!D70,0)</f>
        <v>0</v>
      </c>
      <c r="C51" s="102" t="str">
        <f ca="1">IF(H51=1,J51,I51)</f>
        <v>Complete</v>
      </c>
      <c r="D51" s="331" t="str">
        <f>IF(H51=1,"Click here to answer question 8 for Gold","")</f>
        <v/>
      </c>
      <c r="E51" s="84" t="s">
        <v>828</v>
      </c>
      <c r="F51" s="107">
        <f>F26</f>
        <v>0</v>
      </c>
      <c r="G51" s="81">
        <f>IF(B51=0,1,0)</f>
        <v>1</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451</v>
      </c>
      <c r="F53" s="106"/>
      <c r="G53" s="106"/>
      <c r="H53" s="106"/>
    </row>
    <row r="54" spans="1:10" ht="39">
      <c r="A54" s="102" t="str">
        <f ca="1">Declaration!B75</f>
        <v>A. Have you established a responsible minerals sourcing policy?</v>
      </c>
      <c r="B54" s="102" t="str">
        <f>Declaration!D75</f>
        <v>Yes</v>
      </c>
      <c r="C54" s="102" t="str">
        <f t="shared" ref="C54:C60" ca="1" si="10">IF(H54=1,J54,I54)</f>
        <v>Complete</v>
      </c>
      <c r="D54" s="108" t="str">
        <f>IF(H54=1,"Click here to answer question (A)","")</f>
        <v/>
      </c>
      <c r="E54" s="84" t="s">
        <v>1330</v>
      </c>
      <c r="F54" s="107">
        <f>IF(SUM(F$24:F$27)=0,0,1)</f>
        <v>0</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v>
      </c>
      <c r="B55" s="102" t="str">
        <f>Declaration!D77</f>
        <v>No</v>
      </c>
      <c r="C55" s="102" t="str">
        <f t="shared" ca="1" si="10"/>
        <v>Complete</v>
      </c>
      <c r="D55" s="108" t="str">
        <f>IF(H55=1,"Click here to answer question (B)","")</f>
        <v/>
      </c>
      <c r="E55" s="84" t="s">
        <v>1330</v>
      </c>
      <c r="F55" s="107">
        <f t="shared" ref="F55" si="12">F$54</f>
        <v>0</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v>
      </c>
      <c r="B57" s="102" t="str">
        <f>Declaration!D79</f>
        <v>No</v>
      </c>
      <c r="C57" s="102" t="str">
        <f t="shared" ca="1" si="10"/>
        <v>Complete</v>
      </c>
      <c r="D57" s="108" t="str">
        <f>IF(H57=1,"Click here to answer question (C)","")</f>
        <v/>
      </c>
      <c r="E57" s="84" t="s">
        <v>1330</v>
      </c>
      <c r="F57" s="107">
        <f>F$54</f>
        <v>0</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v>
      </c>
      <c r="B58" s="102" t="str">
        <f>Declaration!D81</f>
        <v>No</v>
      </c>
      <c r="C58" s="102" t="str">
        <f t="shared" ca="1" si="10"/>
        <v>Complete</v>
      </c>
      <c r="D58" s="108" t="str">
        <f>IF(H58=1,"Click here to answer question (D)","")</f>
        <v/>
      </c>
      <c r="E58" s="84" t="s">
        <v>1330</v>
      </c>
      <c r="F58" s="107">
        <f>F$54</f>
        <v>0</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v>
      </c>
      <c r="B59" s="102" t="str">
        <f>Declaration!D83</f>
        <v>No</v>
      </c>
      <c r="C59" s="102" t="str">
        <f t="shared" ca="1" si="10"/>
        <v>Complete</v>
      </c>
      <c r="D59" s="108" t="str">
        <f>IF(H59=1,"Click here to answer question (E)","")</f>
        <v/>
      </c>
      <c r="E59" s="84" t="s">
        <v>1330</v>
      </c>
      <c r="F59" s="107">
        <f>F$54</f>
        <v>0</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v>
      </c>
      <c r="B60" s="102" t="str">
        <f>Declaration!D85</f>
        <v>Yes</v>
      </c>
      <c r="C60" s="102" t="str">
        <f t="shared" ca="1" si="10"/>
        <v>Complete</v>
      </c>
      <c r="D60" s="108" t="str">
        <f>IF(H60=1,"Click here to answer question (F)","")</f>
        <v/>
      </c>
      <c r="E60" s="84" t="s">
        <v>1330</v>
      </c>
      <c r="F60" s="107">
        <f>F$54</f>
        <v>0</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9"/>
    </row>
    <row r="62" spans="1:10" ht="39">
      <c r="A62" s="102" t="str">
        <f ca="1">Declaration!B87</f>
        <v>G. Does your review process include corrective action management?</v>
      </c>
      <c r="B62" s="102" t="str">
        <f>Declaration!D87</f>
        <v>Yes</v>
      </c>
      <c r="C62" s="102" t="str">
        <f t="shared" ref="C62:C68" ca="1" si="13">IF(H62=1,J62,I62)</f>
        <v>Complete</v>
      </c>
      <c r="D62" s="108" t="str">
        <f>IF(H62=1,"Click here to answer question (G)","")</f>
        <v/>
      </c>
      <c r="E62" s="84" t="s">
        <v>1330</v>
      </c>
      <c r="F62" s="107">
        <f>F$54</f>
        <v>0</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v>
      </c>
      <c r="B63" s="102" t="str">
        <f>Declaration!D89</f>
        <v>No</v>
      </c>
      <c r="C63" s="102" t="str">
        <f t="shared" ca="1" si="13"/>
        <v>Complete</v>
      </c>
      <c r="D63" s="108" t="str">
        <f>IF(H63=1,"Click here to answer question (H)","")</f>
        <v/>
      </c>
      <c r="E63" s="84" t="s">
        <v>1330</v>
      </c>
      <c r="F63" s="107">
        <f>F$54</f>
        <v>0</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0</v>
      </c>
      <c r="G66" s="81">
        <f>IF(AND(COUNTIF(SmelterIdetifiedForMetal,"Tin")&gt;0,COUNTIF('Smelter List'!AB$5:AB$2504,"Tin?*")&gt;0),0,1)</f>
        <v>1</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0</v>
      </c>
      <c r="G67" s="81">
        <f>IF(AND(COUNTIF(SmelterIdetifiedForMetal,"Gold")&gt;0,COUNTIF('Smelter List'!AB$5:AB$2504,"Gold?*")&gt;0),0,1)</f>
        <v>1</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2">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2"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30" priority="358" stopIfTrue="1">
      <formula>$H$56=0</formula>
    </cfRule>
  </conditionalFormatting>
  <conditionalFormatting sqref="B66">
    <cfRule type="expression" dxfId="29" priority="39" stopIfTrue="1">
      <formula>IF(F66=0,TRUE)</formula>
    </cfRule>
  </conditionalFormatting>
  <conditionalFormatting sqref="B67">
    <cfRule type="expression" dxfId="28" priority="35" stopIfTrue="1">
      <formula>IF(F67=0,TRUE)</formula>
    </cfRule>
  </conditionalFormatting>
  <conditionalFormatting sqref="B68:B69">
    <cfRule type="expression" dxfId="27" priority="31" stopIfTrue="1">
      <formula>IF(F68=0,TRUE)</formula>
    </cfRule>
  </conditionalFormatting>
  <conditionalFormatting sqref="C69">
    <cfRule type="expression" dxfId="26" priority="13" stopIfTrue="1">
      <formula>C69="Not Required"</formula>
    </cfRule>
    <cfRule type="expression" dxfId="25" priority="21" stopIfTrue="1">
      <formula>OR(C69="Complete",C69="填写",C69="記入",C69="완료",C69="Complétez",C69="Concluído",C69="Vollständig",C69="Completare",C69="Doldurun")</formula>
    </cfRule>
  </conditionalFormatting>
  <conditionalFormatting sqref="A69">
    <cfRule type="expression" dxfId="24" priority="14" stopIfTrue="1">
      <formula>C69="Not Required"</formula>
    </cfRule>
    <cfRule type="expression" dxfId="23"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2" priority="347" stopIfTrue="1">
      <formula>$F4=0</formula>
    </cfRule>
    <cfRule type="expression" dxfId="21" priority="348" stopIfTrue="1">
      <formula>$H4=0</formula>
    </cfRule>
    <cfRule type="expression" dxfId="20" priority="349" stopIfTrue="1">
      <formula>$H4=1</formula>
    </cfRule>
  </conditionalFormatting>
  <conditionalFormatting sqref="C69 A69">
    <cfRule type="expression" dxfId="19" priority="11" stopIfTrue="1">
      <formula>IF(AND($F$69=1,$G$69=1),TRUE,FALSE)</formula>
    </cfRule>
  </conditionalFormatting>
  <conditionalFormatting sqref="A29:A32">
    <cfRule type="expression" dxfId="18" priority="2" stopIfTrue="1">
      <formula>$F29=0</formula>
    </cfRule>
    <cfRule type="expression" dxfId="17" priority="3" stopIfTrue="1">
      <formula>$H29=0</formula>
    </cfRule>
    <cfRule type="expression" dxfId="16" priority="4" stopIfTrue="1">
      <formula>$H29=1</formula>
    </cfRule>
  </conditionalFormatting>
  <conditionalFormatting sqref="B65">
    <cfRule type="expression" dxfId="15" priority="1" stopIfTrue="1">
      <formula>IF(F65=0,TRUE)</formula>
    </cfRule>
  </conditionalFormatting>
  <conditionalFormatting sqref="A5:A13">
    <cfRule type="expression" dxfId="14" priority="49" stopIfTrue="1">
      <formula>$F5=0</formula>
    </cfRule>
    <cfRule type="expression" dxfId="13" priority="50" stopIfTrue="1">
      <formula>AND($F5=1,$G5=0)</formula>
    </cfRule>
    <cfRule type="expression" dxfId="12"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40" t="str">
        <f ca="1">OFFSET(L!$C$1,MATCH("Product List"&amp;ADDRESS(ROW(),COLUMN(),4),L!$A:$A,0)-1,SL,,)</f>
        <v>Completion required only if reporting level "Product (or List of Products)" selected on the 'Declaration' worksheet.</v>
      </c>
      <c r="B1" s="441"/>
      <c r="C1" s="441"/>
      <c r="D1" s="441"/>
      <c r="E1" s="145"/>
    </row>
    <row r="2" spans="1:6" ht="13.2">
      <c r="A2" s="29"/>
      <c r="B2" s="147"/>
      <c r="C2" s="147"/>
      <c r="D2"/>
      <c r="E2" s="30"/>
    </row>
    <row r="3" spans="1:6" ht="13.2">
      <c r="A3" s="29"/>
      <c r="B3" s="147"/>
      <c r="C3" s="147"/>
      <c r="D3" s="147"/>
      <c r="E3" s="30"/>
    </row>
    <row r="4" spans="1:6" ht="15.75" customHeight="1">
      <c r="A4" s="29"/>
      <c r="B4" s="439" t="s">
        <v>921</v>
      </c>
      <c r="C4" s="439"/>
      <c r="D4" s="439"/>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42" t="str">
        <f ca="1">OFFSET(L!$C$1,MATCH("General"&amp;"Cpy",L!$A:$A,0)-1,SL,,)</f>
        <v>© 2020 Responsible Minerals Initiative. All rights reserved.</v>
      </c>
      <c r="C1001" s="442"/>
      <c r="D1001" s="442"/>
      <c r="E1001" s="31"/>
    </row>
    <row r="1002" spans="1:6" ht="13.2"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baseColWidth="10" defaultColWidth="8.90625" defaultRowHeight="12.6"/>
  <cols>
    <col min="1" max="1" width="9.08984375" style="227" bestFit="1" customWidth="1"/>
    <col min="2" max="2" width="42.90625" style="227" customWidth="1"/>
    <col min="3" max="3" width="63.90625" style="227" customWidth="1"/>
    <col min="4" max="4" width="25.6328125" style="227" customWidth="1"/>
    <col min="5" max="5" width="12.6328125" style="227" customWidth="1"/>
    <col min="6" max="6" width="12.6328125" style="228" customWidth="1"/>
    <col min="7" max="7" width="15.36328125" style="227" customWidth="1"/>
    <col min="8" max="8" width="23.90625" style="227" customWidth="1"/>
    <col min="9" max="9" width="28.08984375" style="227" customWidth="1"/>
    <col min="10" max="10" width="48.26953125" style="227" hidden="1" customWidth="1"/>
    <col min="11" max="11" width="49.7265625" style="227" hidden="1" customWidth="1"/>
    <col min="12" max="13" width="49.7265625" style="227" customWidth="1"/>
    <col min="14" max="16384" width="8.90625" style="227"/>
  </cols>
  <sheetData>
    <row r="1" spans="1:16" ht="168.6" customHeight="1">
      <c r="A1" s="443"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3"/>
      <c r="C1" s="443"/>
      <c r="D1" s="443"/>
      <c r="E1" s="443"/>
      <c r="F1" s="443"/>
      <c r="G1" s="443"/>
    </row>
    <row r="2" spans="1:16">
      <c r="A2" s="444"/>
      <c r="B2" s="444"/>
      <c r="C2" s="444"/>
      <c r="D2" s="444"/>
      <c r="E2" s="444"/>
      <c r="F2" s="444"/>
      <c r="G2" s="444"/>
      <c r="H2" s="444"/>
      <c r="I2" s="444"/>
    </row>
    <row r="3" spans="1:16">
      <c r="A3" s="444"/>
      <c r="B3" s="444"/>
      <c r="C3" s="444"/>
      <c r="D3" s="444"/>
      <c r="E3" s="444"/>
      <c r="F3" s="444"/>
      <c r="G3" s="444"/>
      <c r="H3" s="444"/>
      <c r="I3" s="444"/>
    </row>
    <row r="4" spans="1:16" s="230" customFormat="1" ht="50.4">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2"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11" priority="21" stopIfTrue="1" operator="equal">
      <formula>"Yes"</formula>
    </cfRule>
  </conditionalFormatting>
  <conditionalFormatting sqref="K5">
    <cfRule type="cellIs" dxfId="10" priority="5" stopIfTrue="1" operator="equal">
      <formula>"Yes"</formula>
    </cfRule>
  </conditionalFormatting>
  <conditionalFormatting sqref="J293:J294">
    <cfRule type="cellIs" dxfId="9" priority="3" stopIfTrue="1" operator="equal">
      <formula>"Yes"</formula>
    </cfRule>
  </conditionalFormatting>
  <conditionalFormatting sqref="J353:J354">
    <cfRule type="cellIs" dxfId="8" priority="2" stopIfTrue="1" operator="equal">
      <formula>"Yes"</formula>
    </cfRule>
  </conditionalFormatting>
  <conditionalFormatting sqref="J484:J485">
    <cfRule type="cellIs" dxfId="7"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baseColWidth="10" defaultColWidth="8.90625" defaultRowHeight="13.8"/>
  <cols>
    <col min="1" max="1" width="14.6328125" style="293" customWidth="1"/>
    <col min="2" max="2" width="14" style="293" customWidth="1"/>
    <col min="3" max="3" width="6.08984375" style="293" customWidth="1"/>
    <col min="4" max="4" width="56.26953125" style="293" customWidth="1"/>
    <col min="5" max="5" width="53.7265625" style="288" customWidth="1"/>
    <col min="6" max="6" width="54.08984375" style="293" customWidth="1"/>
    <col min="7" max="7" width="68.26953125" style="293" customWidth="1"/>
    <col min="8" max="8" width="49.26953125" style="293" customWidth="1"/>
    <col min="9" max="9" width="51.6328125" style="293" customWidth="1"/>
    <col min="10" max="10" width="50.26953125" style="293" customWidth="1"/>
    <col min="11" max="11" width="51.90625" style="255" customWidth="1"/>
    <col min="12" max="12" width="66.90625" style="326" customWidth="1"/>
    <col min="13" max="13" width="46.08984375" style="187" customWidth="1"/>
    <col min="14" max="15" width="8.90625" style="187" customWidth="1"/>
    <col min="16" max="16384" width="8.9062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2.8">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45">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1.4">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7.6">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41.4">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1.4">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1.4">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1.4">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69">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27.6">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82.8">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7.6">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69">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1.4">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1.4">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38.6">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13.4">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6">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41.4">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360">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14.2">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43.6">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15.2">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15.2">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1.4">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57.6">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96.6">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10.4">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00.8">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358.8">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01.6">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187.2">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86.4">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1.4">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7.6">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86.4">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69">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5.2">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38">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2.8">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82.8">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10.4">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69">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3.2">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3.2">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0.4">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17.39999999999998">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82.8">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79.4">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193.2">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10.4">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41.4">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193.2">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27.6">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03.60000000000002">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51.80000000000001">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38">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289.8">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96.6">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41.4">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69">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7.6">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1.4">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7.6">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7.6">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7.6">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7.6">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7.6">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7.6">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7.6">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7.6">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7.6">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7.6">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2.8">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76.4">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24.2">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51.80000000000001">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69">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38">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10.4">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38">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20.8">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10.4">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17.39999999999998">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07">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7.6">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69">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7.6">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51.8000000000000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96.6">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262.2">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34.6">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7.6">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38">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82.8">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193.2">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193.2">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179.4">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7.6">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7.6">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41.4">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43.2">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5.2">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7.6">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7.6">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7.6">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7.6">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27.6">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28.8">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14.4">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0.4">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7.799999999999997">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37.799999999999997">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28.8">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28.8">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7.799999999999997">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7.6">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69">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0.4">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7.799999999999997">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28.8">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1.4">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7.6">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28.8">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14.4">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14.4">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14.4">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14.4">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14.4">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14.4">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14.4">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14.4">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14.4">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7.6">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7.6">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7.6">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7.6">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7.6">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7.6">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7.6">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1.4">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1.4">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5.2">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27.6">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1.4">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6">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5.2">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7.6">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27.6">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7.6">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7.6">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27.6">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7.6">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1.4">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41.4">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27.6">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27.6">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27.6">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27.6">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27.6">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5.2">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5.2">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5.2">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5.2">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55.2">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55.2">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55.2">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55.2">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55.2">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55.2">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55.2">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55.2">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55.2">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55.2">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55.2">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55.2">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41.4">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5.2">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5.2">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5.2">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1.4">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1.4">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1.4">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1.4">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5.2">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55.2">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5.2">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82.8">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41.4">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41.4">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1.4">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41.4">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41.4">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41.4">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7.6">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2.8">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6">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6">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9">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6">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6">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9">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ZmYzk1YS00Y2U0LTRlNjItOWUzNi0wMTU5NWNkY2Q4YWQiIG9yaWdpbj0idXNlclNlbGVjdGVkIj48ZWxlbWVudCB1aWQ9ImQyZTM5OTg4LWEzZWQtNGRlOC1iYTYzLWMzM2M1YzUyMjI1YyIgdmFsdWU9IiIgeG1sbnM9Imh0dHA6Ly93d3cuYm9sZG9uamFtZXMuY29tLzIwMDgvMDEvc2llL2ludGVybmFsL2xhYmVsIiAvPjxlbGVtZW50IHVpZD0iYjc1NjkzYjAtYzIxMy00NjFlLThjNWQtZGI0NTdlNWExN2YxIiB2YWx1ZT0iIiB4bWxucz0iaHR0cDovL3d3dy5ib2xkb25qYW1lcy5jb20vMjAwOC8wMS9zaWUvaW50ZXJuYWwvbGFiZWwiIC8+PC9zaXNsPjxVc2VyTmFtZT5BU0lMQ0VMSUtcYm96bWVsPC9Vc2VyTmFtZT48RGF0ZVRpbWU+Ny4wNy4yMDIwIDE0OjM0OjQxPC9EYXRlVGltZT48TGFiZWxTdHJpbmc+RE9LVU1BTiBTSU5JRkk6IERBSElMSTwvTGFiZWxTdHJpbmc+PC9pdGVtPjwvbGFiZWxIaXN0b3J5Pg==</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isl xmlns:xsi="http://www.w3.org/2001/XMLSchema-instance" xmlns:xsd="http://www.w3.org/2001/XMLSchema" xmlns="http://www.boldonjames.com/2008/01/sie/internal/label" sislVersion="0" policy="e9ffc95a-4ce4-4e62-9e36-01595cdcd8ad" origin="userSelected">
  <element uid="d2e39988-a3ed-4de8-ba63-c33c5c52225c" value=""/>
  <element uid="b75693b0-c213-461e-8c5d-db457e5a17f1" value=""/>
</sisl>
</file>

<file path=customXml/item5.xml><?xml version="1.0" encoding="utf-8"?>
<ct:contentTypeSchema xmlns:ct="http://schemas.microsoft.com/office/2006/metadata/contentType" xmlns:ma="http://schemas.microsoft.com/office/2006/metadata/properties/metaAttributes" ct:_="" ma:_="" ma:contentTypeName="Document" ma:contentTypeID="0x0101001D9AA3FF93328543A1AE79A9E57696DE" ma:contentTypeVersion="10" ma:contentTypeDescription="Crée un document." ma:contentTypeScope="" ma:versionID="92aea5bac81b479505006b8528491b22">
  <xsd:schema xmlns:xsd="http://www.w3.org/2001/XMLSchema" xmlns:xs="http://www.w3.org/2001/XMLSchema" xmlns:p="http://schemas.microsoft.com/office/2006/metadata/properties" xmlns:ns3="cafadebc-5176-4197-beef-7c6682527eea" targetNamespace="http://schemas.microsoft.com/office/2006/metadata/properties" ma:root="true" ma:fieldsID="a6a7edd630007e81d36a861d586c604a" ns3:_="">
    <xsd:import namespace="cafadebc-5176-4197-beef-7c6682527ee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adebc-5176-4197-beef-7c6682527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281BE-EB1F-4999-BE07-3CE8FD4EAAF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03DEE780-EC47-41FC-861F-1BDFE6C5F8C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fadebc-5176-4197-beef-7c6682527eea"/>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5711759D-81DD-4996-9B3D-98D7DC22A35A}">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95484939-D5AD-492A-858F-15038F909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adebc-5176-4197-beef-7c6682527e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Declaration!Impression_des_titres</vt:lpstr>
      <vt:lpstr>'Product List'!Impression_des_titres</vt:lpstr>
      <vt:lpstr>'Smelter List'!Impression_des_titres</vt:lpstr>
      <vt:lpstr>LN</vt:lpstr>
      <vt:lpstr>'Smelter List'!Metal</vt:lpstr>
      <vt:lpstr>SL</vt:lpstr>
      <vt:lpstr>SmelterIdetifiedForMetal</vt:lpstr>
      <vt:lpstr>Declaration!Zone_d_impression</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creator>RMI@responsiblebusiness.org</dc:creator>
  <cp:lastModifiedBy>DELABORDE Patrick</cp:lastModifiedBy>
  <cp:lastPrinted>2015-04-21T20:47:43Z</cp:lastPrinted>
  <dcterms:created xsi:type="dcterms:W3CDTF">2010-06-21T21:00:23Z</dcterms:created>
  <dcterms:modified xsi:type="dcterms:W3CDTF">2020-07-15T09:25:10Z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0x0101001D9AA3FF93328543A1AE79A9E57696DE</vt:lpwstr>
  </property>
  <property fmtid="{D5CDD505-2E9C-101B-9397-08002B2CF9AE}" pid="4" name="Order">
    <vt:r8>100</vt:r8>
  </property>
  <property fmtid="{D5CDD505-2E9C-101B-9397-08002B2CF9AE}" pid="5" name="docIndexRef">
    <vt:lpwstr>a612746f-2299-4986-9625-632cd085f385</vt:lpwstr>
  </property>
  <property fmtid="{D5CDD505-2E9C-101B-9397-08002B2CF9AE}" pid="6" name="bjSaver">
    <vt:lpwstr>ehbCnEnmA2YrG8Asl2fvKHQMWoAqrgYP</vt:lpwstr>
  </property>
  <property fmtid="{D5CDD505-2E9C-101B-9397-08002B2CF9AE}" pid="7" name="bjDocumentLabelXML">
    <vt:lpwstr>&lt;?xml version="1.0" encoding="us-ascii"?&gt;&lt;sisl xmlns:xsi="http://www.w3.org/2001/XMLSchema-instance" xmlns:xsd="http://www.w3.org/2001/XMLSchema" sislVersion="0" policy="e9ffc95a-4ce4-4e62-9e36-01595cdcd8ad" origin="userSelected" xmlns="http://www.boldonj</vt:lpwstr>
  </property>
  <property fmtid="{D5CDD505-2E9C-101B-9397-08002B2CF9AE}" pid="8" name="bjDocumentLabelXML-0">
    <vt:lpwstr>ames.com/2008/01/sie/internal/label"&gt;&lt;element uid="d2e39988-a3ed-4de8-ba63-c33c5c52225c" value="" /&gt;&lt;element uid="b75693b0-c213-461e-8c5d-db457e5a17f1" value="" /&gt;&lt;/sisl&gt;</vt:lpwstr>
  </property>
  <property fmtid="{D5CDD505-2E9C-101B-9397-08002B2CF9AE}" pid="9" name="bjDocumentSecurityLabel">
    <vt:lpwstr>DOKUMAN SINIFI: DAHILI</vt:lpwstr>
  </property>
  <property fmtid="{D5CDD505-2E9C-101B-9397-08002B2CF9AE}" pid="10" name="bjLabelHistoryID">
    <vt:lpwstr>{616281BE-EB1F-4999-BE07-3CE8FD4EAAF1}</vt:lpwstr>
  </property>
</Properties>
</file>