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8960" windowHeight="7500" activeTab="1"/>
  </bookViews>
  <sheets>
    <sheet name="Motoriste Pièces fixes" sheetId="7" r:id="rId1"/>
    <sheet name="Motoriste Pièces tour. 0 retour" sheetId="1" r:id="rId2"/>
    <sheet name="Motoriste Pièces tour. 50% reto" sheetId="6" r:id="rId3"/>
    <sheet name="Feuil2" sheetId="2" r:id="rId4"/>
    <sheet name="Feuil3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45621"/>
</workbook>
</file>

<file path=xl/calcChain.xml><?xml version="1.0" encoding="utf-8"?>
<calcChain xmlns="http://schemas.openxmlformats.org/spreadsheetml/2006/main">
  <c r="C23" i="6" l="1"/>
  <c r="C22" i="6"/>
  <c r="C23" i="1"/>
  <c r="C22" i="1"/>
  <c r="H37" i="7"/>
  <c r="I37" i="6" l="1"/>
  <c r="H37" i="6"/>
  <c r="G37" i="6"/>
  <c r="E37" i="6"/>
  <c r="I37" i="1"/>
  <c r="H37" i="1"/>
  <c r="G37" i="1"/>
  <c r="E37" i="1"/>
  <c r="I37" i="7"/>
  <c r="G37" i="7"/>
  <c r="E37" i="7"/>
  <c r="F37" i="7" s="1"/>
  <c r="F36" i="7"/>
  <c r="I36" i="7" l="1"/>
  <c r="H36" i="7"/>
  <c r="G36" i="7"/>
  <c r="I35" i="7" l="1"/>
  <c r="H35" i="7"/>
  <c r="G35" i="7"/>
  <c r="B5" i="7" l="1"/>
  <c r="E36" i="7" l="1"/>
  <c r="E35" i="7" l="1"/>
  <c r="F35" i="7" l="1"/>
  <c r="I34" i="7" l="1"/>
  <c r="H34" i="7"/>
  <c r="G34" i="7"/>
  <c r="F34" i="7"/>
  <c r="E34" i="7"/>
  <c r="I38" i="6"/>
  <c r="H38" i="6"/>
  <c r="G38" i="6"/>
  <c r="E38" i="6"/>
  <c r="F37" i="6"/>
  <c r="I36" i="6"/>
  <c r="H36" i="6"/>
  <c r="G36" i="6"/>
  <c r="E36" i="6"/>
  <c r="F36" i="6" s="1"/>
  <c r="I35" i="6"/>
  <c r="H35" i="6"/>
  <c r="G35" i="6"/>
  <c r="F35" i="6"/>
  <c r="E35" i="6"/>
  <c r="I34" i="6"/>
  <c r="H34" i="6"/>
  <c r="G34" i="6"/>
  <c r="F34" i="6"/>
  <c r="E34" i="6"/>
  <c r="B5" i="6"/>
  <c r="I34" i="1"/>
  <c r="H34" i="1"/>
  <c r="G34" i="1"/>
  <c r="F35" i="1"/>
  <c r="F34" i="1"/>
  <c r="E34" i="1"/>
  <c r="I36" i="1" l="1"/>
  <c r="H36" i="1" l="1"/>
  <c r="G36" i="1" l="1"/>
  <c r="F37" i="1" l="1"/>
  <c r="E38" i="1" l="1"/>
  <c r="G38" i="1"/>
  <c r="H38" i="1"/>
  <c r="E36" i="1" l="1"/>
  <c r="F36" i="1" s="1"/>
  <c r="I35" i="1" l="1"/>
  <c r="H35" i="1"/>
  <c r="G35" i="1"/>
  <c r="E35" i="1"/>
  <c r="B5" i="1" l="1"/>
</calcChain>
</file>

<file path=xl/sharedStrings.xml><?xml version="1.0" encoding="utf-8"?>
<sst xmlns="http://schemas.openxmlformats.org/spreadsheetml/2006/main" count="127" uniqueCount="50">
  <si>
    <t>Marché</t>
  </si>
  <si>
    <t>hypothèses principales</t>
  </si>
  <si>
    <t>contrat</t>
  </si>
  <si>
    <t>volumes 2022 en tonnes</t>
  </si>
  <si>
    <t>Motoristes Aéro pièces fixes</t>
  </si>
  <si>
    <t>Motoristes Aéro pièces tournantes</t>
  </si>
  <si>
    <t>écart aux coûts de production (si identifiés)</t>
  </si>
  <si>
    <t>Hypothèse</t>
  </si>
  <si>
    <t>hypothèse</t>
  </si>
  <si>
    <t>MCO (€/kg)</t>
  </si>
  <si>
    <t>prix de copeaux UKAD lingot EcoTitanium ($/kg)</t>
  </si>
  <si>
    <t>prix de copeaux UKAD lingot UKTMP ($/kg)</t>
  </si>
  <si>
    <t>prix de copeaux Branche ($/kg)</t>
  </si>
  <si>
    <t>prix des copeaux Client ($/kg)</t>
  </si>
  <si>
    <t>Prix des copeaux Marché Libre ($/kg)</t>
  </si>
  <si>
    <t>prix de massifs UKAD lingot EcoTitanium ($/kg)</t>
  </si>
  <si>
    <t>prix de massifs UKAD lingot UKTMP ($/kg)</t>
  </si>
  <si>
    <t>prix de massifs Branche ($/kg)</t>
  </si>
  <si>
    <t>prix des massifs Client ($/kg)</t>
  </si>
  <si>
    <t>Prix des massifs Marché Libre ($/kg)</t>
  </si>
  <si>
    <t>Prix de l'éponge ($/kg)</t>
  </si>
  <si>
    <t>BP closing</t>
  </si>
  <si>
    <t>parité d'exploitation €/$</t>
  </si>
  <si>
    <t>Motoristes Aéro pièces tournantes (t)</t>
  </si>
  <si>
    <t>taux de copeaux hors marché libre avant traitement  (% / lingot EcoTitanium)</t>
  </si>
  <si>
    <t>taux de massifs hors marché libre avant traitement  (% / lingot EcoTitanium)</t>
  </si>
  <si>
    <t>PIECES TOURNANTES</t>
  </si>
  <si>
    <t>PIECES FIXES</t>
  </si>
  <si>
    <t>Parité</t>
  </si>
  <si>
    <t>Ecart de mise au mille entre 2 VAR (BP)et 1 VAR (devis)</t>
  </si>
  <si>
    <t>MCO closing moyenne (€/kg)</t>
  </si>
  <si>
    <t>MCO Closing (€/kg)</t>
  </si>
  <si>
    <t>MCO closing avec EBIDTA + Amortissement = 0 (€/kg)</t>
  </si>
  <si>
    <t>MCO closing avec EBIDTA + Amortissement + remboursement emprunts = 0 (€/kg)</t>
  </si>
  <si>
    <t>MCO proposée (€/kg)</t>
  </si>
  <si>
    <t>MCO après négociation finale (€/kg)</t>
  </si>
  <si>
    <t>%</t>
  </si>
  <si>
    <t>T de copeaux négoce (UKTMP) à 0,6 USD/kg</t>
  </si>
  <si>
    <t>T de copeaux négoce (Pamiers) à 5 USD/kg</t>
  </si>
  <si>
    <t>T de copeaux en interne à 0,6 USD /kg</t>
  </si>
  <si>
    <t>T de massifs en interne à 1 USD /kg</t>
  </si>
  <si>
    <t>50% retour</t>
  </si>
  <si>
    <t>T de copeaux Pamiers à 5 USD/kg</t>
  </si>
  <si>
    <t>de retour</t>
  </si>
  <si>
    <t>T de copeaux clients déjà traîtés à 3,3 USD/kg (retour)</t>
  </si>
  <si>
    <t>T de lingots</t>
  </si>
  <si>
    <t>Copeaux traités</t>
  </si>
  <si>
    <t>pour</t>
  </si>
  <si>
    <t>t de lingots</t>
  </si>
  <si>
    <t>0 retour du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</si>
</sst>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3" fontId="0" fillId="2" borderId="13" xfId="0" applyNumberFormat="1" applyFill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3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10" fontId="0" fillId="2" borderId="13" xfId="0" applyNumberForma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43" fontId="0" fillId="3" borderId="13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9" fontId="0" fillId="2" borderId="6" xfId="1" applyFont="1" applyFill="1" applyBorder="1" applyAlignment="1">
      <alignment horizontal="center" vertical="center"/>
    </xf>
    <xf numFmtId="164" fontId="0" fillId="2" borderId="9" xfId="1" applyNumberFormat="1" applyFont="1" applyFill="1" applyBorder="1" applyAlignment="1">
      <alignment horizontal="center" vertical="center"/>
    </xf>
    <xf numFmtId="164" fontId="0" fillId="2" borderId="6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0" fillId="0" borderId="11" xfId="0" applyBorder="1" applyAlignment="1"/>
    <xf numFmtId="0" fontId="0" fillId="0" borderId="12" xfId="0" applyBorder="1" applyAlignment="1"/>
    <xf numFmtId="0" fontId="0" fillId="0" borderId="19" xfId="0" applyBorder="1" applyAlignment="1"/>
    <xf numFmtId="0" fontId="0" fillId="0" borderId="14" xfId="0" applyBorder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06%2026%20Calcul%20MCO%20par%20march&#233;%20parit&#233;%201,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06%2026%20Calcul%20MCO%20par%20march&#233;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losing%20parit&#233;%201,4%20MCO%20ba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losing%20parit&#233;%201,25%20MCO%20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losing%20parit&#233;%201,15%20MCO%20ba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losing%20parit&#233;%201%20MCO%20bas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06%2026%20Calcul%20MCO%20par%20march&#233;%20parit&#233;%201,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06%2026%20Calcul%20MCO%20par%20march&#233;%20parit&#233;%201,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06%2026%20Calcul%20MCO%20par%20march&#233;%20parit&#233;%20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06%2024%20Bilan%20variation%20MCO%20et%20pari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nnée"/>
      <sheetName val="Valorisation"/>
      <sheetName val="Feuil3"/>
    </sheetNames>
    <sheetDataSet>
      <sheetData sheetId="0">
        <row r="13">
          <cell r="S13">
            <v>423.5</v>
          </cell>
        </row>
        <row r="15">
          <cell r="S15">
            <v>4032.2049999999999</v>
          </cell>
        </row>
      </sheetData>
      <sheetData sheetId="1">
        <row r="14">
          <cell r="E14">
            <v>20.257000392028786</v>
          </cell>
          <cell r="BO14">
            <v>5.2486903997663861</v>
          </cell>
          <cell r="BP14">
            <v>0.36274702164514316</v>
          </cell>
          <cell r="BU14">
            <v>0.82223505335996905</v>
          </cell>
        </row>
        <row r="15">
          <cell r="E15">
            <v>21.757000392028786</v>
          </cell>
          <cell r="BO15">
            <v>6.267555251757547</v>
          </cell>
          <cell r="BP15">
            <v>0.40329903913019866</v>
          </cell>
          <cell r="BU15">
            <v>0.82223505335996905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nnée"/>
      <sheetName val="Valorisation"/>
      <sheetName val="Feuil3"/>
    </sheetNames>
    <sheetDataSet>
      <sheetData sheetId="0">
        <row r="14">
          <cell r="S14">
            <v>60.5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Plan de cash"/>
      <sheetName val="investisseurs"/>
      <sheetName val="Synthèse emprunts"/>
      <sheetName val="emprunt2015"/>
      <sheetName val="emprunt2015v1"/>
      <sheetName val="emprunt2015v2"/>
      <sheetName val="emprunt2015v3"/>
      <sheetName val="emprunt2016"/>
      <sheetName val="emprunt2016v1"/>
      <sheetName val="emprunt2016v2"/>
      <sheetName val="emprunt2016v3"/>
      <sheetName val="emprunt2017"/>
      <sheetName val="emprunt2017v1"/>
      <sheetName val="emprunt2017v2"/>
      <sheetName val="emprunt2017v3"/>
      <sheetName val="emprunt2018"/>
      <sheetName val="emprunt2018v1"/>
      <sheetName val="emprunt2018v2"/>
      <sheetName val="emprunt2018v3"/>
      <sheetName val="emprunt2019"/>
      <sheetName val="emprunt2019v1"/>
      <sheetName val="emprunt2019v2"/>
      <sheetName val="emprunt2019v3"/>
      <sheetName val="emprunt2020"/>
      <sheetName val="emprunt2020v1"/>
      <sheetName val="emprunt2020v2"/>
      <sheetName val="emprunt2020v3"/>
      <sheetName val="Exploitation"/>
      <sheetName val="Exploitation année pleine"/>
      <sheetName val="Para de décalage"/>
      <sheetName val="Feuil9"/>
      <sheetName val="Intérêt et remboursement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9">
          <cell r="G39">
            <v>5.4759861042024474</v>
          </cell>
        </row>
        <row r="40">
          <cell r="G40">
            <v>0.3927981813778777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Plan de cash"/>
      <sheetName val="investisseurs"/>
      <sheetName val="Synthèse emprunts"/>
      <sheetName val="emprunt2015"/>
      <sheetName val="emprunt2015v1"/>
      <sheetName val="emprunt2015v2"/>
      <sheetName val="emprunt2015v3"/>
      <sheetName val="emprunt2016"/>
      <sheetName val="emprunt2016v1"/>
      <sheetName val="emprunt2016v2"/>
      <sheetName val="emprunt2016v3"/>
      <sheetName val="emprunt2017"/>
      <sheetName val="emprunt2017v1"/>
      <sheetName val="emprunt2017v2"/>
      <sheetName val="emprunt2017v3"/>
      <sheetName val="emprunt2018"/>
      <sheetName val="emprunt2018v1"/>
      <sheetName val="emprunt2018v2"/>
      <sheetName val="emprunt2018v3"/>
      <sheetName val="emprunt2019"/>
      <sheetName val="emprunt2019v1"/>
      <sheetName val="emprunt2019v2"/>
      <sheetName val="emprunt2019v3"/>
      <sheetName val="emprunt2020"/>
      <sheetName val="emprunt2020v1"/>
      <sheetName val="emprunt2020v2"/>
      <sheetName val="emprunt2020v3"/>
      <sheetName val="Exploitation"/>
      <sheetName val="Exploitation année pleine"/>
      <sheetName val="Para de décalage"/>
      <sheetName val="Feuil9"/>
      <sheetName val="Intérêt et remboursement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>
        <row r="45">
          <cell r="J45">
            <v>-3315420.2933333339</v>
          </cell>
        </row>
      </sheetData>
      <sheetData sheetId="1">
        <row r="62">
          <cell r="E62">
            <v>-1048075.5342521458</v>
          </cell>
        </row>
      </sheetData>
      <sheetData sheetId="2">
        <row r="6">
          <cell r="K6">
            <v>23755959.885460746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9">
          <cell r="G39">
            <v>6.458031355443036</v>
          </cell>
        </row>
      </sheetData>
      <sheetData sheetId="31"/>
      <sheetData sheetId="32"/>
      <sheetData sheetId="33"/>
      <sheetData sheetId="34"/>
      <sheetData sheetId="35">
        <row r="5">
          <cell r="F5">
            <v>56.711739199999997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Plan de cash"/>
      <sheetName val="investisseurs"/>
      <sheetName val="Synthèse emprunts"/>
      <sheetName val="emprunt2015"/>
      <sheetName val="emprunt2015v1"/>
      <sheetName val="emprunt2015v2"/>
      <sheetName val="emprunt2015v3"/>
      <sheetName val="emprunt2016"/>
      <sheetName val="emprunt2016v1"/>
      <sheetName val="emprunt2016v2"/>
      <sheetName val="emprunt2016v3"/>
      <sheetName val="emprunt2017"/>
      <sheetName val="emprunt2017v1"/>
      <sheetName val="emprunt2017v2"/>
      <sheetName val="emprunt2017v3"/>
      <sheetName val="emprunt2018"/>
      <sheetName val="emprunt2018v1"/>
      <sheetName val="emprunt2018v2"/>
      <sheetName val="emprunt2018v3"/>
      <sheetName val="emprunt2019"/>
      <sheetName val="emprunt2019v1"/>
      <sheetName val="emprunt2019v2"/>
      <sheetName val="emprunt2019v3"/>
      <sheetName val="emprunt2020"/>
      <sheetName val="emprunt2020v1"/>
      <sheetName val="emprunt2020v2"/>
      <sheetName val="emprunt2020v3"/>
      <sheetName val="Exploitation"/>
      <sheetName val="Exploitation année pleine"/>
      <sheetName val="Para de décalage"/>
      <sheetName val="Feuil9"/>
      <sheetName val="Intérêt et remboursement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9">
          <cell r="G39">
            <v>7.255053588333948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Plan de cash"/>
      <sheetName val="investisseurs"/>
      <sheetName val="Synthèse emprunts"/>
      <sheetName val="emprunt2015"/>
      <sheetName val="emprunt2015v1"/>
      <sheetName val="emprunt2015v2"/>
      <sheetName val="emprunt2015v3"/>
      <sheetName val="emprunt2016"/>
      <sheetName val="emprunt2016v1"/>
      <sheetName val="emprunt2016v2"/>
      <sheetName val="emprunt2016v3"/>
      <sheetName val="emprunt2017"/>
      <sheetName val="emprunt2017v1"/>
      <sheetName val="emprunt2017v2"/>
      <sheetName val="emprunt2017v3"/>
      <sheetName val="emprunt2018"/>
      <sheetName val="emprunt2018v1"/>
      <sheetName val="emprunt2018v2"/>
      <sheetName val="emprunt2018v3"/>
      <sheetName val="emprunt2019"/>
      <sheetName val="emprunt2019v1"/>
      <sheetName val="emprunt2019v2"/>
      <sheetName val="emprunt2019v3"/>
      <sheetName val="emprunt2020"/>
      <sheetName val="emprunt2020v1"/>
      <sheetName val="emprunt2020v2"/>
      <sheetName val="emprunt2020v3"/>
      <sheetName val="Exploitation"/>
      <sheetName val="Exploitation année pleine"/>
      <sheetName val="Para de décalage"/>
      <sheetName val="Feuil9"/>
      <sheetName val="Intérêt et remboursement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>
        <row r="45">
          <cell r="J45">
            <v>-3315420.2933333339</v>
          </cell>
        </row>
      </sheetData>
      <sheetData sheetId="1">
        <row r="62">
          <cell r="E62">
            <v>-1048075.5342521458</v>
          </cell>
        </row>
      </sheetData>
      <sheetData sheetId="2">
        <row r="6">
          <cell r="K6">
            <v>32974179.745594017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9">
          <cell r="G39">
            <v>8.7494702750044056</v>
          </cell>
        </row>
      </sheetData>
      <sheetData sheetId="31"/>
      <sheetData sheetId="32"/>
      <sheetData sheetId="33"/>
      <sheetData sheetId="34"/>
      <sheetData sheetId="35">
        <row r="5">
          <cell r="F5">
            <v>56.711739199999997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nnée"/>
      <sheetName val="Valorisation"/>
      <sheetName val="Feuil3"/>
    </sheetNames>
    <sheetDataSet>
      <sheetData sheetId="0">
        <row r="15">
          <cell r="S15">
            <v>4032.2049999999999</v>
          </cell>
        </row>
      </sheetData>
      <sheetData sheetId="1">
        <row r="14">
          <cell r="BO14">
            <v>6.1927181218139733</v>
          </cell>
          <cell r="BU14">
            <v>0.82223505335996905</v>
          </cell>
        </row>
        <row r="15">
          <cell r="BO15">
            <v>7.3344814959334155</v>
          </cell>
          <cell r="BU15">
            <v>0.82223505335996905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nnée"/>
      <sheetName val="Valorisation"/>
      <sheetName val="Feuil3"/>
    </sheetNames>
    <sheetDataSet>
      <sheetData sheetId="0">
        <row r="15">
          <cell r="S15">
            <v>4032.2049999999999</v>
          </cell>
        </row>
      </sheetData>
      <sheetData sheetId="1">
        <row r="14">
          <cell r="BO14">
            <v>6.9588855484033223</v>
          </cell>
          <cell r="BU14">
            <v>0.82223505335996905</v>
          </cell>
        </row>
        <row r="15">
          <cell r="BO15">
            <v>8.2003926506268776</v>
          </cell>
          <cell r="BU15">
            <v>0.82223505335996905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nnée"/>
      <sheetName val="Valorisation"/>
      <sheetName val="Feuil3"/>
    </sheetNames>
    <sheetDataSet>
      <sheetData sheetId="0">
        <row r="15">
          <cell r="S15">
            <v>4032.2049999999999</v>
          </cell>
        </row>
      </sheetData>
      <sheetData sheetId="1">
        <row r="14">
          <cell r="BO14">
            <v>8.3954494732583385</v>
          </cell>
          <cell r="BU14">
            <v>0.82223505335996905</v>
          </cell>
        </row>
        <row r="15">
          <cell r="BO15">
            <v>9.8239760656771118</v>
          </cell>
          <cell r="BU15">
            <v>0.82223505335996905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8">
          <cell r="C8">
            <v>-4.8634018800000014</v>
          </cell>
        </row>
        <row r="17">
          <cell r="C17">
            <v>-3.3154202933333341</v>
          </cell>
        </row>
        <row r="21">
          <cell r="C21">
            <v>-4.5188337600000015</v>
          </cell>
        </row>
        <row r="30">
          <cell r="C30">
            <v>-3.3154202933333341</v>
          </cell>
        </row>
        <row r="34">
          <cell r="C34">
            <v>-4.3823013600000014</v>
          </cell>
        </row>
        <row r="43">
          <cell r="C43">
            <v>-3.3154202933333341</v>
          </cell>
        </row>
        <row r="47">
          <cell r="C47">
            <v>-4.189107550000001</v>
          </cell>
        </row>
        <row r="56">
          <cell r="C56">
            <v>-3.3154202933333341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2" zoomScale="110" zoomScaleNormal="110" workbookViewId="0">
      <selection activeCell="G38" sqref="G38"/>
    </sheetView>
  </sheetViews>
  <sheetFormatPr baseColWidth="10" defaultRowHeight="15" x14ac:dyDescent="0.25"/>
  <cols>
    <col min="1" max="1" width="70.140625" bestFit="1" customWidth="1"/>
    <col min="2" max="3" width="11.42578125" style="1"/>
    <col min="5" max="5" width="11.42578125" style="1"/>
  </cols>
  <sheetData>
    <row r="1" spans="1:3" x14ac:dyDescent="0.25">
      <c r="A1" t="s">
        <v>27</v>
      </c>
    </row>
    <row r="2" spans="1:3" ht="18.75" x14ac:dyDescent="0.25">
      <c r="A2" s="49" t="s">
        <v>3</v>
      </c>
      <c r="B2" s="49"/>
      <c r="C2" s="49"/>
    </row>
    <row r="3" spans="1:3" ht="6.75" customHeight="1" thickBot="1" x14ac:dyDescent="0.3">
      <c r="A3" s="30"/>
      <c r="B3" s="30"/>
      <c r="C3" s="30"/>
    </row>
    <row r="4" spans="1:3" x14ac:dyDescent="0.25">
      <c r="A4" s="15" t="s">
        <v>0</v>
      </c>
      <c r="B4" s="13" t="s">
        <v>21</v>
      </c>
      <c r="C4" s="11" t="s">
        <v>2</v>
      </c>
    </row>
    <row r="5" spans="1:3" ht="15.75" thickBot="1" x14ac:dyDescent="0.3">
      <c r="A5" s="5" t="s">
        <v>23</v>
      </c>
      <c r="B5" s="21">
        <f>'[1]Base année'!$S$13</f>
        <v>423.5</v>
      </c>
      <c r="C5" s="20"/>
    </row>
    <row r="6" spans="1:3" ht="12" customHeight="1" x14ac:dyDescent="0.25"/>
    <row r="7" spans="1:3" ht="18.75" x14ac:dyDescent="0.25">
      <c r="A7" s="49" t="s">
        <v>1</v>
      </c>
      <c r="B7" s="50"/>
      <c r="C7" s="50"/>
    </row>
    <row r="8" spans="1:3" ht="9" customHeight="1" thickBot="1" x14ac:dyDescent="0.3">
      <c r="A8" s="30"/>
      <c r="B8" s="31"/>
      <c r="C8" s="31"/>
    </row>
    <row r="9" spans="1:3" ht="18.75" x14ac:dyDescent="0.25">
      <c r="A9" s="12"/>
      <c r="B9" s="13" t="s">
        <v>21</v>
      </c>
      <c r="C9" s="14" t="s">
        <v>8</v>
      </c>
    </row>
    <row r="10" spans="1:3" x14ac:dyDescent="0.25">
      <c r="A10" s="4" t="s">
        <v>22</v>
      </c>
      <c r="B10" s="2">
        <v>1.4</v>
      </c>
      <c r="C10" s="18"/>
    </row>
    <row r="11" spans="1:3" x14ac:dyDescent="0.25">
      <c r="A11" s="4" t="s">
        <v>20</v>
      </c>
      <c r="B11" s="2">
        <v>10</v>
      </c>
      <c r="C11" s="18"/>
    </row>
    <row r="12" spans="1:3" x14ac:dyDescent="0.25">
      <c r="A12" s="4" t="s">
        <v>10</v>
      </c>
      <c r="B12" s="2">
        <v>0.6</v>
      </c>
      <c r="C12" s="18"/>
    </row>
    <row r="13" spans="1:3" x14ac:dyDescent="0.25">
      <c r="A13" s="4" t="s">
        <v>11</v>
      </c>
      <c r="B13" s="2">
        <v>0.6</v>
      </c>
      <c r="C13" s="18"/>
    </row>
    <row r="14" spans="1:3" x14ac:dyDescent="0.25">
      <c r="A14" s="4" t="s">
        <v>12</v>
      </c>
      <c r="B14" s="2">
        <v>0.6</v>
      </c>
      <c r="C14" s="18"/>
    </row>
    <row r="15" spans="1:3" x14ac:dyDescent="0.25">
      <c r="A15" s="4" t="s">
        <v>13</v>
      </c>
      <c r="B15" s="2">
        <v>0.6</v>
      </c>
      <c r="C15" s="18"/>
    </row>
    <row r="16" spans="1:3" x14ac:dyDescent="0.25">
      <c r="A16" s="4" t="s">
        <v>14</v>
      </c>
      <c r="B16" s="24">
        <v>4.9539999999999997</v>
      </c>
      <c r="C16" s="18"/>
    </row>
    <row r="17" spans="1:3" x14ac:dyDescent="0.25">
      <c r="A17" s="4" t="s">
        <v>15</v>
      </c>
      <c r="B17" s="2">
        <v>1</v>
      </c>
      <c r="C17" s="18"/>
    </row>
    <row r="18" spans="1:3" x14ac:dyDescent="0.25">
      <c r="A18" s="4" t="s">
        <v>16</v>
      </c>
      <c r="B18" s="2">
        <v>1</v>
      </c>
      <c r="C18" s="18"/>
    </row>
    <row r="19" spans="1:3" x14ac:dyDescent="0.25">
      <c r="A19" s="4" t="s">
        <v>17</v>
      </c>
      <c r="B19" s="2">
        <v>1</v>
      </c>
      <c r="C19" s="18"/>
    </row>
    <row r="20" spans="1:3" x14ac:dyDescent="0.25">
      <c r="A20" s="4" t="s">
        <v>18</v>
      </c>
      <c r="B20" s="2">
        <v>1</v>
      </c>
      <c r="C20" s="18"/>
    </row>
    <row r="21" spans="1:3" x14ac:dyDescent="0.25">
      <c r="A21" s="4" t="s">
        <v>19</v>
      </c>
      <c r="B21" s="24">
        <v>9.4125999999999994</v>
      </c>
      <c r="C21" s="18"/>
    </row>
    <row r="22" spans="1:3" x14ac:dyDescent="0.25">
      <c r="A22" s="4" t="s">
        <v>24</v>
      </c>
      <c r="B22" s="22">
        <v>8.3000000000000004E-2</v>
      </c>
      <c r="C22" s="18"/>
    </row>
    <row r="23" spans="1:3" ht="15.75" thickBot="1" x14ac:dyDescent="0.3">
      <c r="A23" s="5" t="s">
        <v>25</v>
      </c>
      <c r="B23" s="23">
        <v>0.34499999999999997</v>
      </c>
      <c r="C23" s="19"/>
    </row>
    <row r="24" spans="1:3" ht="9" customHeight="1" x14ac:dyDescent="0.25"/>
    <row r="25" spans="1:3" ht="18.75" x14ac:dyDescent="0.3">
      <c r="A25" s="51" t="s">
        <v>6</v>
      </c>
      <c r="B25" s="51"/>
      <c r="C25" s="52"/>
    </row>
    <row r="26" spans="1:3" ht="9" customHeight="1" thickBot="1" x14ac:dyDescent="0.35">
      <c r="A26" s="32"/>
      <c r="B26" s="32"/>
      <c r="C26" s="33"/>
    </row>
    <row r="27" spans="1:3" x14ac:dyDescent="0.25">
      <c r="A27" s="3"/>
      <c r="B27" s="13" t="s">
        <v>21</v>
      </c>
      <c r="C27" s="11" t="s">
        <v>7</v>
      </c>
    </row>
    <row r="28" spans="1:3" x14ac:dyDescent="0.25">
      <c r="A28" s="4" t="s">
        <v>29</v>
      </c>
      <c r="B28" s="2"/>
      <c r="C28" s="18"/>
    </row>
    <row r="29" spans="1:3" x14ac:dyDescent="0.25">
      <c r="A29" s="4"/>
      <c r="B29" s="2"/>
      <c r="C29" s="18"/>
    </row>
    <row r="30" spans="1:3" ht="15.75" thickBot="1" x14ac:dyDescent="0.3">
      <c r="A30" s="5"/>
      <c r="B30" s="6"/>
      <c r="C30" s="19"/>
    </row>
    <row r="31" spans="1:3" ht="9.75" customHeight="1" x14ac:dyDescent="0.25">
      <c r="A31" s="16"/>
      <c r="B31" s="17"/>
      <c r="C31" s="17"/>
    </row>
    <row r="32" spans="1:3" ht="19.5" thickBot="1" x14ac:dyDescent="0.35">
      <c r="A32" s="53" t="s">
        <v>9</v>
      </c>
      <c r="B32" s="54"/>
      <c r="C32" s="54"/>
    </row>
    <row r="33" spans="1:9" ht="24.75" customHeight="1" thickBot="1" x14ac:dyDescent="0.35">
      <c r="A33" s="55" t="s">
        <v>4</v>
      </c>
      <c r="B33" s="55"/>
      <c r="C33" s="56"/>
      <c r="D33" s="28" t="s">
        <v>28</v>
      </c>
      <c r="E33" s="25">
        <v>1.4</v>
      </c>
      <c r="F33" s="25" t="s">
        <v>36</v>
      </c>
      <c r="G33" s="25">
        <v>1.25</v>
      </c>
      <c r="H33" s="25">
        <v>1.1499999999999999</v>
      </c>
      <c r="I33" s="25">
        <v>1</v>
      </c>
    </row>
    <row r="34" spans="1:9" ht="15" customHeight="1" thickBot="1" x14ac:dyDescent="0.3">
      <c r="A34" s="46" t="s">
        <v>30</v>
      </c>
      <c r="B34" s="47"/>
      <c r="C34" s="47"/>
      <c r="D34" s="48"/>
      <c r="E34" s="29">
        <f>[2]Exploitation!$G$39</f>
        <v>5.4759861042024474</v>
      </c>
      <c r="F34" s="39">
        <f>[2]Exploitation!$G$40</f>
        <v>0.3927981813778777</v>
      </c>
      <c r="G34" s="37">
        <f>[3]Exploitation!$G$39</f>
        <v>6.458031355443036</v>
      </c>
      <c r="H34" s="37">
        <f>[4]Exploitation!$G$39</f>
        <v>7.255053588333948</v>
      </c>
      <c r="I34" s="37">
        <f>[5]Exploitation!$G$39</f>
        <v>8.7494702750044056</v>
      </c>
    </row>
    <row r="35" spans="1:9" ht="15.75" thickBot="1" x14ac:dyDescent="0.3">
      <c r="A35" s="46" t="s">
        <v>31</v>
      </c>
      <c r="B35" s="47"/>
      <c r="C35" s="47"/>
      <c r="D35" s="48"/>
      <c r="E35" s="26">
        <f>[1]Valorisation!$BO$14</f>
        <v>5.2486903997663861</v>
      </c>
      <c r="F35" s="38">
        <f>[1]Valorisation!$BP$14</f>
        <v>0.36274702164514316</v>
      </c>
      <c r="G35" s="26">
        <f>[6]Valorisation!$BO$14</f>
        <v>6.1927181218139733</v>
      </c>
      <c r="H35" s="26">
        <f>[7]Valorisation!$BO$14</f>
        <v>6.9588855484033223</v>
      </c>
      <c r="I35" s="26">
        <f>[8]Valorisation!$BO$14</f>
        <v>8.3954494732583385</v>
      </c>
    </row>
    <row r="36" spans="1:9" ht="15.75" thickBot="1" x14ac:dyDescent="0.3">
      <c r="A36" s="57" t="s">
        <v>32</v>
      </c>
      <c r="B36" s="58"/>
      <c r="C36" s="58"/>
      <c r="D36" s="59"/>
      <c r="E36" s="26">
        <f>[1]Valorisation!$BU$14</f>
        <v>0.82223505335996905</v>
      </c>
      <c r="F36" s="36">
        <f>E36/[1]Valorisation!$E$14</f>
        <v>4.0590168210863142E-2</v>
      </c>
      <c r="G36" s="26">
        <f>[6]Valorisation!$BU$14</f>
        <v>0.82223505335996905</v>
      </c>
      <c r="H36" s="26">
        <f>[7]Valorisation!$BU$14</f>
        <v>0.82223505335996905</v>
      </c>
      <c r="I36" s="26">
        <f>[8]Valorisation!$BU$14</f>
        <v>0.82223505335996905</v>
      </c>
    </row>
    <row r="37" spans="1:9" ht="15.75" thickBot="1" x14ac:dyDescent="0.3">
      <c r="A37" s="46" t="s">
        <v>33</v>
      </c>
      <c r="B37" s="47"/>
      <c r="C37" s="47"/>
      <c r="D37" s="48"/>
      <c r="E37" s="26">
        <f>([9]Feuil1!$C$17+[9]Feuil1!$C$8)/'[1]Base année'!$S$15*1000*-1</f>
        <v>2.0283745923963035</v>
      </c>
      <c r="F37" s="36">
        <f>E37/[1]Valorisation!$E$14</f>
        <v>0.1001320310579881</v>
      </c>
      <c r="G37" s="26">
        <f>([9]Feuil1!$C$30+[9]Feuil1!$C$21)/'[6]Base année'!$S$15*1000*-1</f>
        <v>1.9429205740614219</v>
      </c>
      <c r="H37" s="26">
        <f>([9]Feuil1!$C$34+[9]Feuil1!$C$43)/'[7]Base année'!$S$15*1000*-1</f>
        <v>1.9090600932574946</v>
      </c>
      <c r="I37" s="26">
        <f>([9]Feuil1!$C$47+[9]Feuil1!$C$56)/'[8]Base année'!$S$15*1000*-1</f>
        <v>1.8611473978464228</v>
      </c>
    </row>
    <row r="38" spans="1:9" ht="15.75" thickBot="1" x14ac:dyDescent="0.3">
      <c r="A38" s="57" t="s">
        <v>34</v>
      </c>
      <c r="B38" s="58"/>
      <c r="C38" s="58"/>
      <c r="D38" s="59"/>
      <c r="E38" s="26"/>
      <c r="F38" s="26"/>
      <c r="G38" s="41">
        <v>4.95</v>
      </c>
      <c r="H38" s="26"/>
      <c r="I38" s="26"/>
    </row>
    <row r="39" spans="1:9" ht="15.75" thickBot="1" x14ac:dyDescent="0.3">
      <c r="A39" s="57" t="s">
        <v>35</v>
      </c>
      <c r="B39" s="58"/>
      <c r="C39" s="58"/>
      <c r="D39" s="60"/>
      <c r="E39" s="26"/>
      <c r="F39" s="26"/>
      <c r="G39" s="26"/>
      <c r="H39" s="26"/>
      <c r="I39" s="26"/>
    </row>
    <row r="49" spans="5:5" x14ac:dyDescent="0.25">
      <c r="E49" s="34"/>
    </row>
  </sheetData>
  <mergeCells count="11">
    <mergeCell ref="A35:D35"/>
    <mergeCell ref="A36:D36"/>
    <mergeCell ref="A37:D37"/>
    <mergeCell ref="A38:D38"/>
    <mergeCell ref="A39:D39"/>
    <mergeCell ref="A34:D34"/>
    <mergeCell ref="A2:C2"/>
    <mergeCell ref="A7:C7"/>
    <mergeCell ref="A25:C25"/>
    <mergeCell ref="A32:C32"/>
    <mergeCell ref="A33:C3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13" zoomScale="110" zoomScaleNormal="110" workbookViewId="0">
      <selection activeCell="F22" sqref="F22"/>
    </sheetView>
  </sheetViews>
  <sheetFormatPr baseColWidth="10" defaultRowHeight="15" x14ac:dyDescent="0.25"/>
  <cols>
    <col min="1" max="1" width="70.140625" bestFit="1" customWidth="1"/>
    <col min="2" max="3" width="11.42578125" style="1"/>
    <col min="5" max="5" width="11.42578125" style="1"/>
  </cols>
  <sheetData>
    <row r="1" spans="1:7" x14ac:dyDescent="0.25">
      <c r="A1" t="s">
        <v>26</v>
      </c>
    </row>
    <row r="2" spans="1:7" ht="18.75" x14ac:dyDescent="0.25">
      <c r="A2" s="49" t="s">
        <v>3</v>
      </c>
      <c r="B2" s="49"/>
      <c r="C2" s="49"/>
      <c r="E2" s="42" t="s">
        <v>49</v>
      </c>
    </row>
    <row r="3" spans="1:7" ht="6.75" customHeight="1" thickBot="1" x14ac:dyDescent="0.3">
      <c r="A3" s="7"/>
      <c r="B3" s="7"/>
      <c r="C3" s="7"/>
    </row>
    <row r="4" spans="1:7" x14ac:dyDescent="0.25">
      <c r="A4" s="15" t="s">
        <v>0</v>
      </c>
      <c r="B4" s="13" t="s">
        <v>21</v>
      </c>
      <c r="C4" s="11" t="s">
        <v>2</v>
      </c>
    </row>
    <row r="5" spans="1:7" ht="15.75" thickBot="1" x14ac:dyDescent="0.3">
      <c r="A5" s="5" t="s">
        <v>23</v>
      </c>
      <c r="B5" s="21">
        <f>'[10]Base année'!$S$14</f>
        <v>60.5</v>
      </c>
      <c r="C5" s="20"/>
      <c r="E5" s="42" t="s">
        <v>47</v>
      </c>
      <c r="F5">
        <v>1210</v>
      </c>
      <c r="G5" t="s">
        <v>48</v>
      </c>
    </row>
    <row r="6" spans="1:7" ht="12" customHeight="1" x14ac:dyDescent="0.25">
      <c r="E6" s="1">
        <v>53</v>
      </c>
      <c r="F6" t="s">
        <v>40</v>
      </c>
    </row>
    <row r="7" spans="1:7" ht="18.75" x14ac:dyDescent="0.25">
      <c r="A7" s="49" t="s">
        <v>1</v>
      </c>
      <c r="B7" s="50"/>
      <c r="C7" s="50"/>
      <c r="E7" s="1">
        <v>58</v>
      </c>
      <c r="F7" t="s">
        <v>39</v>
      </c>
    </row>
    <row r="8" spans="1:7" ht="9" customHeight="1" thickBot="1" x14ac:dyDescent="0.3">
      <c r="A8" s="7"/>
      <c r="B8" s="8"/>
      <c r="C8" s="8"/>
    </row>
    <row r="9" spans="1:7" ht="18.75" x14ac:dyDescent="0.25">
      <c r="A9" s="12"/>
      <c r="B9" s="13" t="s">
        <v>21</v>
      </c>
      <c r="C9" s="14" t="s">
        <v>8</v>
      </c>
      <c r="E9" s="1">
        <v>563</v>
      </c>
      <c r="F9" t="s">
        <v>37</v>
      </c>
    </row>
    <row r="10" spans="1:7" x14ac:dyDescent="0.25">
      <c r="A10" s="4" t="s">
        <v>22</v>
      </c>
      <c r="B10" s="2">
        <v>1.4</v>
      </c>
      <c r="C10" s="18">
        <v>1.25</v>
      </c>
      <c r="E10" s="1">
        <v>563</v>
      </c>
      <c r="F10" t="s">
        <v>38</v>
      </c>
    </row>
    <row r="11" spans="1:7" x14ac:dyDescent="0.25">
      <c r="A11" s="4" t="s">
        <v>20</v>
      </c>
      <c r="B11" s="2">
        <v>10</v>
      </c>
      <c r="C11" s="18">
        <v>9.4</v>
      </c>
    </row>
    <row r="12" spans="1:7" x14ac:dyDescent="0.25">
      <c r="A12" s="4" t="s">
        <v>10</v>
      </c>
      <c r="B12" s="2">
        <v>0.6</v>
      </c>
      <c r="C12" s="18">
        <v>0.6</v>
      </c>
    </row>
    <row r="13" spans="1:7" x14ac:dyDescent="0.25">
      <c r="A13" s="4" t="s">
        <v>11</v>
      </c>
      <c r="B13" s="2">
        <v>0.6</v>
      </c>
      <c r="C13" s="18">
        <v>0.6</v>
      </c>
    </row>
    <row r="14" spans="1:7" x14ac:dyDescent="0.25">
      <c r="A14" s="4" t="s">
        <v>12</v>
      </c>
      <c r="B14" s="2">
        <v>0.6</v>
      </c>
      <c r="C14" s="18"/>
    </row>
    <row r="15" spans="1:7" x14ac:dyDescent="0.25">
      <c r="A15" s="4" t="s">
        <v>13</v>
      </c>
      <c r="B15" s="2">
        <v>0.6</v>
      </c>
      <c r="C15" s="18"/>
    </row>
    <row r="16" spans="1:7" x14ac:dyDescent="0.25">
      <c r="A16" s="4" t="s">
        <v>14</v>
      </c>
      <c r="B16" s="24">
        <v>4.9539999999999997</v>
      </c>
      <c r="C16" s="18">
        <v>5</v>
      </c>
    </row>
    <row r="17" spans="1:3" x14ac:dyDescent="0.25">
      <c r="A17" s="4" t="s">
        <v>15</v>
      </c>
      <c r="B17" s="2">
        <v>1</v>
      </c>
      <c r="C17" s="18">
        <v>1</v>
      </c>
    </row>
    <row r="18" spans="1:3" x14ac:dyDescent="0.25">
      <c r="A18" s="4" t="s">
        <v>16</v>
      </c>
      <c r="B18" s="2">
        <v>1</v>
      </c>
      <c r="C18" s="18"/>
    </row>
    <row r="19" spans="1:3" x14ac:dyDescent="0.25">
      <c r="A19" s="4" t="s">
        <v>17</v>
      </c>
      <c r="B19" s="2">
        <v>1</v>
      </c>
      <c r="C19" s="18"/>
    </row>
    <row r="20" spans="1:3" x14ac:dyDescent="0.25">
      <c r="A20" s="4" t="s">
        <v>18</v>
      </c>
      <c r="B20" s="2">
        <v>1</v>
      </c>
      <c r="C20" s="18"/>
    </row>
    <row r="21" spans="1:3" x14ac:dyDescent="0.25">
      <c r="A21" s="4" t="s">
        <v>19</v>
      </c>
      <c r="B21" s="24">
        <v>9.4125999999999994</v>
      </c>
      <c r="C21" s="18">
        <v>9.41</v>
      </c>
    </row>
    <row r="22" spans="1:3" x14ac:dyDescent="0.25">
      <c r="A22" s="4" t="s">
        <v>24</v>
      </c>
      <c r="B22" s="22">
        <v>8.3000000000000004E-2</v>
      </c>
      <c r="C22" s="43">
        <f>(E7+E9+E10)/F5</f>
        <v>0.97851239669421486</v>
      </c>
    </row>
    <row r="23" spans="1:3" ht="15.75" thickBot="1" x14ac:dyDescent="0.3">
      <c r="A23" s="5" t="s">
        <v>25</v>
      </c>
      <c r="B23" s="23">
        <v>0.34499999999999997</v>
      </c>
      <c r="C23" s="44">
        <f>E6/F5</f>
        <v>4.3801652892561986E-2</v>
      </c>
    </row>
    <row r="24" spans="1:3" ht="9" customHeight="1" x14ac:dyDescent="0.25"/>
    <row r="25" spans="1:3" ht="18.75" x14ac:dyDescent="0.3">
      <c r="A25" s="51" t="s">
        <v>6</v>
      </c>
      <c r="B25" s="51"/>
      <c r="C25" s="52"/>
    </row>
    <row r="26" spans="1:3" ht="9" customHeight="1" thickBot="1" x14ac:dyDescent="0.35">
      <c r="A26" s="9"/>
      <c r="B26" s="9"/>
      <c r="C26" s="10"/>
    </row>
    <row r="27" spans="1:3" x14ac:dyDescent="0.25">
      <c r="A27" s="3"/>
      <c r="B27" s="13" t="s">
        <v>21</v>
      </c>
      <c r="C27" s="11" t="s">
        <v>7</v>
      </c>
    </row>
    <row r="28" spans="1:3" x14ac:dyDescent="0.25">
      <c r="A28" s="4" t="s">
        <v>29</v>
      </c>
      <c r="B28" s="2"/>
      <c r="C28" s="18"/>
    </row>
    <row r="29" spans="1:3" x14ac:dyDescent="0.25">
      <c r="A29" s="4"/>
      <c r="B29" s="2"/>
      <c r="C29" s="18"/>
    </row>
    <row r="30" spans="1:3" ht="15.75" thickBot="1" x14ac:dyDescent="0.3">
      <c r="A30" s="5"/>
      <c r="B30" s="6"/>
      <c r="C30" s="19"/>
    </row>
    <row r="31" spans="1:3" ht="9.75" customHeight="1" x14ac:dyDescent="0.25">
      <c r="A31" s="16"/>
      <c r="B31" s="17"/>
      <c r="C31" s="17"/>
    </row>
    <row r="32" spans="1:3" ht="19.5" thickBot="1" x14ac:dyDescent="0.35">
      <c r="A32" s="53" t="s">
        <v>9</v>
      </c>
      <c r="B32" s="54"/>
      <c r="C32" s="54"/>
    </row>
    <row r="33" spans="1:9" ht="24.75" customHeight="1" thickBot="1" x14ac:dyDescent="0.35">
      <c r="A33" s="55" t="s">
        <v>5</v>
      </c>
      <c r="B33" s="55"/>
      <c r="C33" s="56"/>
      <c r="D33" s="28" t="s">
        <v>28</v>
      </c>
      <c r="E33" s="25">
        <v>1.4</v>
      </c>
      <c r="F33" s="25" t="s">
        <v>36</v>
      </c>
      <c r="G33" s="25">
        <v>1.25</v>
      </c>
      <c r="H33" s="25">
        <v>1.1499999999999999</v>
      </c>
      <c r="I33" s="25">
        <v>1</v>
      </c>
    </row>
    <row r="34" spans="1:9" ht="19.5" customHeight="1" thickBot="1" x14ac:dyDescent="0.3">
      <c r="A34" s="46" t="s">
        <v>30</v>
      </c>
      <c r="B34" s="47"/>
      <c r="C34" s="47"/>
      <c r="D34" s="48"/>
      <c r="E34" s="29">
        <f>[2]Exploitation!$G$39</f>
        <v>5.4759861042024474</v>
      </c>
      <c r="F34" s="27">
        <f>[2]Exploitation!$G$40</f>
        <v>0.3927981813778777</v>
      </c>
      <c r="G34" s="37">
        <f>[3]Exploitation!$G$39</f>
        <v>6.458031355443036</v>
      </c>
      <c r="H34" s="37">
        <f>[4]Exploitation!$G$39</f>
        <v>7.255053588333948</v>
      </c>
      <c r="I34" s="37">
        <f>[5]Exploitation!$G$39</f>
        <v>8.7494702750044056</v>
      </c>
    </row>
    <row r="35" spans="1:9" ht="15.75" thickBot="1" x14ac:dyDescent="0.3">
      <c r="A35" s="46" t="s">
        <v>31</v>
      </c>
      <c r="B35" s="47"/>
      <c r="C35" s="47"/>
      <c r="D35" s="48"/>
      <c r="E35" s="26">
        <f>[1]Valorisation!$BO$15</f>
        <v>6.267555251757547</v>
      </c>
      <c r="F35" s="35">
        <f>[1]Valorisation!$BP$15</f>
        <v>0.40329903913019866</v>
      </c>
      <c r="G35" s="26">
        <f>[6]Valorisation!$BO$15</f>
        <v>7.3344814959334155</v>
      </c>
      <c r="H35" s="26">
        <f>[7]Valorisation!$BO$15</f>
        <v>8.2003926506268776</v>
      </c>
      <c r="I35" s="26">
        <f>[8]Valorisation!$BO$15</f>
        <v>9.8239760656771118</v>
      </c>
    </row>
    <row r="36" spans="1:9" ht="15.75" thickBot="1" x14ac:dyDescent="0.3">
      <c r="A36" s="57" t="s">
        <v>32</v>
      </c>
      <c r="B36" s="58"/>
      <c r="C36" s="58"/>
      <c r="D36" s="59"/>
      <c r="E36" s="26">
        <f>[1]Valorisation!$BU$15</f>
        <v>0.82223505335996905</v>
      </c>
      <c r="F36" s="36">
        <f>E36/[1]Valorisation!$E$15</f>
        <v>3.7791746957049059E-2</v>
      </c>
      <c r="G36" s="26">
        <f>[6]Valorisation!$BU$15</f>
        <v>0.82223505335996905</v>
      </c>
      <c r="H36" s="26">
        <f>[7]Valorisation!$BU$15</f>
        <v>0.82223505335996905</v>
      </c>
      <c r="I36" s="26">
        <f>[8]Valorisation!$BU$15</f>
        <v>0.82223505335996905</v>
      </c>
    </row>
    <row r="37" spans="1:9" ht="15.75" thickBot="1" x14ac:dyDescent="0.3">
      <c r="A37" s="46" t="s">
        <v>33</v>
      </c>
      <c r="B37" s="47"/>
      <c r="C37" s="47"/>
      <c r="D37" s="48"/>
      <c r="E37" s="26">
        <f>([9]Feuil1!$C$17+[9]Feuil1!$C$8)/'[1]Base année'!$S$15*1000*-1</f>
        <v>2.0283745923963035</v>
      </c>
      <c r="F37" s="36">
        <f>E37/[1]Valorisation!$E$15</f>
        <v>9.3228595663373187E-2</v>
      </c>
      <c r="G37" s="26">
        <f>([9]Feuil1!$C$30+[9]Feuil1!$C$21)/'[6]Base année'!$S$15*1000*-1</f>
        <v>1.9429205740614219</v>
      </c>
      <c r="H37" s="26">
        <f>([9]Feuil1!$C$34+[9]Feuil1!$C$43)/'[7]Base année'!$S$15*1000*-1</f>
        <v>1.9090600932574946</v>
      </c>
      <c r="I37" s="26">
        <f>([9]Feuil1!$C$47+[9]Feuil1!$C$56)/'[8]Base année'!$S$15*1000*-1</f>
        <v>1.8611473978464228</v>
      </c>
    </row>
    <row r="38" spans="1:9" ht="15.75" thickBot="1" x14ac:dyDescent="0.3">
      <c r="A38" s="57" t="s">
        <v>34</v>
      </c>
      <c r="B38" s="58"/>
      <c r="C38" s="58"/>
      <c r="D38" s="59"/>
      <c r="E38" s="41">
        <f>7.18/1.4</f>
        <v>5.128571428571429</v>
      </c>
      <c r="F38" s="26"/>
      <c r="G38" s="41">
        <f>7.9/1.25</f>
        <v>6.32</v>
      </c>
      <c r="H38" s="41">
        <f>8.39/H33</f>
        <v>7.2956521739130444</v>
      </c>
      <c r="I38" s="41">
        <v>9.11</v>
      </c>
    </row>
    <row r="39" spans="1:9" ht="15.75" thickBot="1" x14ac:dyDescent="0.3">
      <c r="A39" s="57" t="s">
        <v>35</v>
      </c>
      <c r="B39" s="58"/>
      <c r="C39" s="58"/>
      <c r="D39" s="60"/>
      <c r="E39" s="26"/>
      <c r="F39" s="26"/>
      <c r="G39" s="26"/>
      <c r="H39" s="26"/>
      <c r="I39" s="26"/>
    </row>
    <row r="49" spans="5:5" x14ac:dyDescent="0.25">
      <c r="E49" s="34"/>
    </row>
  </sheetData>
  <mergeCells count="11">
    <mergeCell ref="A7:C7"/>
    <mergeCell ref="A2:C2"/>
    <mergeCell ref="A39:D39"/>
    <mergeCell ref="A36:D36"/>
    <mergeCell ref="A38:D38"/>
    <mergeCell ref="A25:C25"/>
    <mergeCell ref="A32:C32"/>
    <mergeCell ref="A37:D37"/>
    <mergeCell ref="A34:D34"/>
    <mergeCell ref="A33:C33"/>
    <mergeCell ref="A35:D3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9" zoomScale="110" zoomScaleNormal="110" workbookViewId="0">
      <selection activeCell="E38" sqref="E38"/>
    </sheetView>
  </sheetViews>
  <sheetFormatPr baseColWidth="10" defaultRowHeight="15" x14ac:dyDescent="0.25"/>
  <cols>
    <col min="1" max="1" width="70.140625" bestFit="1" customWidth="1"/>
    <col min="2" max="3" width="11.42578125" style="1"/>
    <col min="5" max="5" width="11.42578125" style="1"/>
  </cols>
  <sheetData>
    <row r="1" spans="1:6" x14ac:dyDescent="0.25">
      <c r="A1" t="s">
        <v>26</v>
      </c>
    </row>
    <row r="2" spans="1:6" ht="18.75" x14ac:dyDescent="0.25">
      <c r="A2" s="49" t="s">
        <v>3</v>
      </c>
      <c r="B2" s="49"/>
      <c r="C2" s="49"/>
      <c r="E2" s="1" t="s">
        <v>41</v>
      </c>
    </row>
    <row r="3" spans="1:6" ht="6.75" customHeight="1" thickBot="1" x14ac:dyDescent="0.3">
      <c r="A3" s="30"/>
      <c r="B3" s="30"/>
      <c r="C3" s="30"/>
    </row>
    <row r="4" spans="1:6" x14ac:dyDescent="0.25">
      <c r="A4" s="15" t="s">
        <v>0</v>
      </c>
      <c r="B4" s="13" t="s">
        <v>21</v>
      </c>
      <c r="C4" s="11" t="s">
        <v>2</v>
      </c>
      <c r="D4">
        <v>1210</v>
      </c>
      <c r="E4" s="1" t="s">
        <v>45</v>
      </c>
    </row>
    <row r="5" spans="1:6" ht="15.75" thickBot="1" x14ac:dyDescent="0.3">
      <c r="A5" s="5" t="s">
        <v>23</v>
      </c>
      <c r="B5" s="21">
        <f>'[10]Base année'!$S$14</f>
        <v>60.5</v>
      </c>
      <c r="C5" s="20"/>
      <c r="D5">
        <v>510</v>
      </c>
      <c r="E5" s="1" t="s">
        <v>43</v>
      </c>
    </row>
    <row r="6" spans="1:6" ht="12" customHeight="1" x14ac:dyDescent="0.25">
      <c r="E6" s="1">
        <v>53</v>
      </c>
      <c r="F6" t="s">
        <v>40</v>
      </c>
    </row>
    <row r="7" spans="1:6" ht="18.75" x14ac:dyDescent="0.25">
      <c r="A7" s="49" t="s">
        <v>1</v>
      </c>
      <c r="B7" s="50"/>
      <c r="C7" s="50"/>
      <c r="E7" s="1">
        <v>58</v>
      </c>
      <c r="F7" t="s">
        <v>39</v>
      </c>
    </row>
    <row r="8" spans="1:6" ht="9" customHeight="1" thickBot="1" x14ac:dyDescent="0.3">
      <c r="A8" s="30"/>
      <c r="B8" s="31"/>
      <c r="C8" s="31"/>
    </row>
    <row r="9" spans="1:6" ht="18.75" x14ac:dyDescent="0.25">
      <c r="A9" s="12"/>
      <c r="B9" s="13" t="s">
        <v>21</v>
      </c>
      <c r="C9" s="14" t="s">
        <v>8</v>
      </c>
      <c r="E9" s="1">
        <v>230</v>
      </c>
      <c r="F9" t="s">
        <v>37</v>
      </c>
    </row>
    <row r="10" spans="1:6" x14ac:dyDescent="0.25">
      <c r="A10" s="4" t="s">
        <v>22</v>
      </c>
      <c r="B10" s="2">
        <v>1.4</v>
      </c>
      <c r="C10" s="18">
        <v>1.25</v>
      </c>
      <c r="E10" s="1">
        <v>230</v>
      </c>
      <c r="F10" t="s">
        <v>42</v>
      </c>
    </row>
    <row r="11" spans="1:6" x14ac:dyDescent="0.25">
      <c r="A11" s="4" t="s">
        <v>20</v>
      </c>
      <c r="B11" s="2">
        <v>10</v>
      </c>
      <c r="C11" s="18">
        <v>9.4</v>
      </c>
      <c r="E11" s="1">
        <v>500</v>
      </c>
      <c r="F11" t="s">
        <v>44</v>
      </c>
    </row>
    <row r="12" spans="1:6" x14ac:dyDescent="0.25">
      <c r="A12" s="4" t="s">
        <v>10</v>
      </c>
      <c r="B12" s="2">
        <v>0.6</v>
      </c>
      <c r="C12" s="18">
        <v>0.6</v>
      </c>
    </row>
    <row r="13" spans="1:6" x14ac:dyDescent="0.25">
      <c r="A13" s="4" t="s">
        <v>11</v>
      </c>
      <c r="B13" s="2">
        <v>0.6</v>
      </c>
      <c r="C13" s="18">
        <v>0.6</v>
      </c>
    </row>
    <row r="14" spans="1:6" x14ac:dyDescent="0.25">
      <c r="A14" s="4" t="s">
        <v>12</v>
      </c>
      <c r="B14" s="2">
        <v>0.6</v>
      </c>
      <c r="C14" s="18">
        <v>0.6</v>
      </c>
    </row>
    <row r="15" spans="1:6" x14ac:dyDescent="0.25">
      <c r="A15" s="4" t="s">
        <v>13</v>
      </c>
      <c r="B15" s="2">
        <v>0.6</v>
      </c>
      <c r="C15" s="18">
        <v>3.3</v>
      </c>
      <c r="D15" t="s">
        <v>46</v>
      </c>
    </row>
    <row r="16" spans="1:6" x14ac:dyDescent="0.25">
      <c r="A16" s="4" t="s">
        <v>14</v>
      </c>
      <c r="B16" s="24">
        <v>4.9539999999999997</v>
      </c>
      <c r="C16" s="40">
        <v>5</v>
      </c>
    </row>
    <row r="17" spans="1:3" x14ac:dyDescent="0.25">
      <c r="A17" s="4" t="s">
        <v>15</v>
      </c>
      <c r="B17" s="2">
        <v>1</v>
      </c>
      <c r="C17" s="18">
        <v>1</v>
      </c>
    </row>
    <row r="18" spans="1:3" x14ac:dyDescent="0.25">
      <c r="A18" s="4" t="s">
        <v>16</v>
      </c>
      <c r="B18" s="2">
        <v>1</v>
      </c>
      <c r="C18" s="18">
        <v>0.6</v>
      </c>
    </row>
    <row r="19" spans="1:3" x14ac:dyDescent="0.25">
      <c r="A19" s="4" t="s">
        <v>17</v>
      </c>
      <c r="B19" s="2">
        <v>1</v>
      </c>
      <c r="C19" s="18"/>
    </row>
    <row r="20" spans="1:3" x14ac:dyDescent="0.25">
      <c r="A20" s="4" t="s">
        <v>18</v>
      </c>
      <c r="B20" s="2">
        <v>1</v>
      </c>
      <c r="C20" s="18"/>
    </row>
    <row r="21" spans="1:3" x14ac:dyDescent="0.25">
      <c r="A21" s="4" t="s">
        <v>19</v>
      </c>
      <c r="B21" s="24">
        <v>9.4125999999999994</v>
      </c>
      <c r="C21" s="18">
        <v>9.41</v>
      </c>
    </row>
    <row r="22" spans="1:3" x14ac:dyDescent="0.25">
      <c r="A22" s="4" t="s">
        <v>24</v>
      </c>
      <c r="B22" s="22">
        <v>8.3000000000000004E-2</v>
      </c>
      <c r="C22" s="45">
        <f>(E7+E9+E10+E11/0.75)/D4</f>
        <v>0.97906336088154255</v>
      </c>
    </row>
    <row r="23" spans="1:3" ht="15.75" thickBot="1" x14ac:dyDescent="0.3">
      <c r="A23" s="5" t="s">
        <v>25</v>
      </c>
      <c r="B23" s="23">
        <v>0.34499999999999997</v>
      </c>
      <c r="C23" s="44">
        <f>E6/D4</f>
        <v>4.3801652892561986E-2</v>
      </c>
    </row>
    <row r="24" spans="1:3" ht="9" customHeight="1" x14ac:dyDescent="0.25"/>
    <row r="25" spans="1:3" ht="18.75" x14ac:dyDescent="0.3">
      <c r="A25" s="51" t="s">
        <v>6</v>
      </c>
      <c r="B25" s="51"/>
      <c r="C25" s="52"/>
    </row>
    <row r="26" spans="1:3" ht="9" customHeight="1" thickBot="1" x14ac:dyDescent="0.35">
      <c r="A26" s="32"/>
      <c r="B26" s="32"/>
      <c r="C26" s="33"/>
    </row>
    <row r="27" spans="1:3" x14ac:dyDescent="0.25">
      <c r="A27" s="3"/>
      <c r="B27" s="13" t="s">
        <v>21</v>
      </c>
      <c r="C27" s="11" t="s">
        <v>7</v>
      </c>
    </row>
    <row r="28" spans="1:3" x14ac:dyDescent="0.25">
      <c r="A28" s="4" t="s">
        <v>29</v>
      </c>
      <c r="B28" s="2"/>
      <c r="C28" s="18"/>
    </row>
    <row r="29" spans="1:3" x14ac:dyDescent="0.25">
      <c r="A29" s="4"/>
      <c r="B29" s="2"/>
      <c r="C29" s="18"/>
    </row>
    <row r="30" spans="1:3" ht="15.75" thickBot="1" x14ac:dyDescent="0.3">
      <c r="A30" s="5"/>
      <c r="B30" s="6"/>
      <c r="C30" s="19"/>
    </row>
    <row r="31" spans="1:3" ht="9.75" customHeight="1" x14ac:dyDescent="0.25">
      <c r="A31" s="16"/>
      <c r="B31" s="17"/>
      <c r="C31" s="17"/>
    </row>
    <row r="32" spans="1:3" ht="19.5" thickBot="1" x14ac:dyDescent="0.35">
      <c r="A32" s="53" t="s">
        <v>9</v>
      </c>
      <c r="B32" s="54"/>
      <c r="C32" s="54"/>
    </row>
    <row r="33" spans="1:9" ht="24.75" customHeight="1" thickBot="1" x14ac:dyDescent="0.35">
      <c r="A33" s="55" t="s">
        <v>5</v>
      </c>
      <c r="B33" s="55"/>
      <c r="C33" s="56"/>
      <c r="D33" s="28" t="s">
        <v>28</v>
      </c>
      <c r="E33" s="25">
        <v>1.4</v>
      </c>
      <c r="F33" s="25" t="s">
        <v>36</v>
      </c>
      <c r="G33" s="25">
        <v>1.25</v>
      </c>
      <c r="H33" s="25">
        <v>1.1499999999999999</v>
      </c>
      <c r="I33" s="25">
        <v>1</v>
      </c>
    </row>
    <row r="34" spans="1:9" ht="19.5" customHeight="1" thickBot="1" x14ac:dyDescent="0.3">
      <c r="A34" s="46" t="s">
        <v>30</v>
      </c>
      <c r="B34" s="47"/>
      <c r="C34" s="47"/>
      <c r="D34" s="48"/>
      <c r="E34" s="29">
        <f>[2]Exploitation!$G$39</f>
        <v>5.4759861042024474</v>
      </c>
      <c r="F34" s="27">
        <f>[2]Exploitation!$G$40</f>
        <v>0.3927981813778777</v>
      </c>
      <c r="G34" s="37">
        <f>[3]Exploitation!$G$39</f>
        <v>6.458031355443036</v>
      </c>
      <c r="H34" s="37">
        <f>[4]Exploitation!$G$39</f>
        <v>7.255053588333948</v>
      </c>
      <c r="I34" s="37">
        <f>[5]Exploitation!$G$39</f>
        <v>8.7494702750044056</v>
      </c>
    </row>
    <row r="35" spans="1:9" ht="15.75" thickBot="1" x14ac:dyDescent="0.3">
      <c r="A35" s="46" t="s">
        <v>31</v>
      </c>
      <c r="B35" s="47"/>
      <c r="C35" s="47"/>
      <c r="D35" s="48"/>
      <c r="E35" s="26">
        <f>[1]Valorisation!$BO$15</f>
        <v>6.267555251757547</v>
      </c>
      <c r="F35" s="35">
        <f>[1]Valorisation!$BP$15</f>
        <v>0.40329903913019866</v>
      </c>
      <c r="G35" s="26">
        <f>[6]Valorisation!$BO$15</f>
        <v>7.3344814959334155</v>
      </c>
      <c r="H35" s="26">
        <f>[7]Valorisation!$BO$15</f>
        <v>8.2003926506268776</v>
      </c>
      <c r="I35" s="26">
        <f>[8]Valorisation!$BO$15</f>
        <v>9.8239760656771118</v>
      </c>
    </row>
    <row r="36" spans="1:9" ht="15.75" thickBot="1" x14ac:dyDescent="0.3">
      <c r="A36" s="57" t="s">
        <v>32</v>
      </c>
      <c r="B36" s="58"/>
      <c r="C36" s="58"/>
      <c r="D36" s="59"/>
      <c r="E36" s="26">
        <f>[1]Valorisation!$BU$15</f>
        <v>0.82223505335996905</v>
      </c>
      <c r="F36" s="36">
        <f>E36/[1]Valorisation!$E$15</f>
        <v>3.7791746957049059E-2</v>
      </c>
      <c r="G36" s="26">
        <f>[6]Valorisation!$BU$15</f>
        <v>0.82223505335996905</v>
      </c>
      <c r="H36" s="26">
        <f>[7]Valorisation!$BU$15</f>
        <v>0.82223505335996905</v>
      </c>
      <c r="I36" s="26">
        <f>[8]Valorisation!$BU$15</f>
        <v>0.82223505335996905</v>
      </c>
    </row>
    <row r="37" spans="1:9" ht="15.75" thickBot="1" x14ac:dyDescent="0.3">
      <c r="A37" s="46" t="s">
        <v>33</v>
      </c>
      <c r="B37" s="47"/>
      <c r="C37" s="47"/>
      <c r="D37" s="48"/>
      <c r="E37" s="26">
        <f>([9]Feuil1!$C$17+[9]Feuil1!$C$8)/'[1]Base année'!$S$15*1000*-1</f>
        <v>2.0283745923963035</v>
      </c>
      <c r="F37" s="36">
        <f>E37/[1]Valorisation!$E$15</f>
        <v>9.3228595663373187E-2</v>
      </c>
      <c r="G37" s="26">
        <f>([9]Feuil1!$C$30+[9]Feuil1!$C$21)/'[6]Base année'!$S$15*1000*-1</f>
        <v>1.9429205740614219</v>
      </c>
      <c r="H37" s="26">
        <f>([9]Feuil1!$C$34+[9]Feuil1!$C$43)/'[7]Base année'!$S$15*1000*-1</f>
        <v>1.9090600932574946</v>
      </c>
      <c r="I37" s="26">
        <f>([9]Feuil1!$C$47+[9]Feuil1!$C$56)/'[8]Base année'!$S$15*1000*-1</f>
        <v>1.8611473978464228</v>
      </c>
    </row>
    <row r="38" spans="1:9" ht="15.75" thickBot="1" x14ac:dyDescent="0.3">
      <c r="A38" s="57" t="s">
        <v>34</v>
      </c>
      <c r="B38" s="58"/>
      <c r="C38" s="58"/>
      <c r="D38" s="59"/>
      <c r="E38" s="41">
        <f>7.01/E33</f>
        <v>5.0071428571428571</v>
      </c>
      <c r="F38" s="26"/>
      <c r="G38" s="41">
        <f>7.57/G33</f>
        <v>6.056</v>
      </c>
      <c r="H38" s="41">
        <f>7.94/H33</f>
        <v>6.9043478260869575</v>
      </c>
      <c r="I38" s="41">
        <f>8.5/I33</f>
        <v>8.5</v>
      </c>
    </row>
    <row r="39" spans="1:9" ht="15.75" thickBot="1" x14ac:dyDescent="0.3">
      <c r="A39" s="57" t="s">
        <v>35</v>
      </c>
      <c r="B39" s="58"/>
      <c r="C39" s="58"/>
      <c r="D39" s="60"/>
      <c r="E39" s="26"/>
      <c r="F39" s="26"/>
      <c r="G39" s="26"/>
      <c r="H39" s="26"/>
      <c r="I39" s="26"/>
    </row>
    <row r="49" spans="5:5" x14ac:dyDescent="0.25">
      <c r="E49" s="34"/>
    </row>
  </sheetData>
  <mergeCells count="11">
    <mergeCell ref="A35:D35"/>
    <mergeCell ref="A36:D36"/>
    <mergeCell ref="A37:D37"/>
    <mergeCell ref="A38:D38"/>
    <mergeCell ref="A39:D39"/>
    <mergeCell ref="A34:D34"/>
    <mergeCell ref="A2:C2"/>
    <mergeCell ref="A7:C7"/>
    <mergeCell ref="A25:C25"/>
    <mergeCell ref="A32:C32"/>
    <mergeCell ref="A33:C3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Motoriste Pièces fixes</vt:lpstr>
      <vt:lpstr>Motoriste Pièces tour. 0 retour</vt:lpstr>
      <vt:lpstr>Motoriste Pièces tour. 50% reto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Francois Gouriten</cp:lastModifiedBy>
  <dcterms:created xsi:type="dcterms:W3CDTF">2015-06-25T06:39:43Z</dcterms:created>
  <dcterms:modified xsi:type="dcterms:W3CDTF">2015-07-02T15:17:10Z</dcterms:modified>
</cp:coreProperties>
</file>