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960" windowWidth="19080" windowHeight="6435" tabRatio="888"/>
  </bookViews>
  <sheets>
    <sheet name="Synthèse SAFRAN" sheetId="9" r:id="rId1"/>
    <sheet name="Synthèse CDG" sheetId="11" r:id="rId2"/>
    <sheet name="Base STD" sheetId="1" r:id="rId3"/>
    <sheet name="Base 2 VAR" sheetId="4" r:id="rId4"/>
    <sheet name="Base 2 VAR M à 1 C a 0,6 $kg" sheetId="5" r:id="rId5"/>
    <sheet name="Base 2 VAR 100 % C a 0,6 $kg" sheetId="6" r:id="rId6"/>
    <sheet name="Base 2 VAR M à 38% C a 20%" sheetId="7" r:id="rId7"/>
    <sheet name="Base 2 VAR 100 % C à 20%" sheetId="8" r:id="rId8"/>
    <sheet name="Base 2 VAR 100 % M a 1 $kg" sheetId="12" r:id="rId9"/>
    <sheet name="Base 2 VAR 100 % M a 38%" sheetId="1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eurodol" localSheetId="3">'Base 2 VAR'!$B$7</definedName>
    <definedName name="eurodol" localSheetId="5">'Base 2 VAR 100 % C a 0,6 $kg'!$B$7</definedName>
    <definedName name="eurodol" localSheetId="7">'Base 2 VAR 100 % C à 20%'!$B$7</definedName>
    <definedName name="eurodol" localSheetId="8">'Base 2 VAR 100 % M a 1 $kg'!$B$7</definedName>
    <definedName name="eurodol" localSheetId="9">'Base 2 VAR 100 % M a 38%'!$B$7</definedName>
    <definedName name="eurodol" localSheetId="4">'Base 2 VAR M à 1 C a 0,6 $kg'!$B$7</definedName>
    <definedName name="eurodol" localSheetId="6">'Base 2 VAR M à 38% C a 20%'!$B$7</definedName>
    <definedName name="eurodol">'Base STD'!$B$7</definedName>
  </definedNames>
  <calcPr calcId="145621"/>
</workbook>
</file>

<file path=xl/calcChain.xml><?xml version="1.0" encoding="utf-8"?>
<calcChain xmlns="http://schemas.openxmlformats.org/spreadsheetml/2006/main">
  <c r="E58" i="14" l="1"/>
  <c r="D48" i="14"/>
  <c r="D46" i="14"/>
  <c r="D44" i="14"/>
  <c r="D42" i="14"/>
  <c r="D40" i="14"/>
  <c r="D38" i="14"/>
  <c r="D36" i="14"/>
  <c r="D34" i="14"/>
  <c r="D32" i="14"/>
  <c r="D30" i="14"/>
  <c r="B30" i="14"/>
  <c r="C29" i="14"/>
  <c r="B29" i="14"/>
  <c r="C28" i="14"/>
  <c r="B28" i="14"/>
  <c r="D25" i="14"/>
  <c r="D23" i="14"/>
  <c r="D21" i="14"/>
  <c r="D19" i="14"/>
  <c r="F16" i="14"/>
  <c r="F58" i="14" s="1"/>
  <c r="C11" i="14"/>
  <c r="C10" i="14"/>
  <c r="C9" i="14"/>
  <c r="C8" i="14"/>
  <c r="E28" i="14"/>
  <c r="B7" i="14"/>
  <c r="E46" i="14" s="1"/>
  <c r="E32" i="14" l="1"/>
  <c r="E23" i="14"/>
  <c r="F23" i="14" s="1"/>
  <c r="E40" i="14"/>
  <c r="F40" i="14" s="1"/>
  <c r="E48" i="14"/>
  <c r="E25" i="14"/>
  <c r="F25" i="14" s="1"/>
  <c r="E34" i="14"/>
  <c r="F34" i="14" s="1"/>
  <c r="E42" i="14"/>
  <c r="F42" i="14" s="1"/>
  <c r="E21" i="14"/>
  <c r="F21" i="14" s="1"/>
  <c r="E38" i="14"/>
  <c r="E19" i="14"/>
  <c r="F19" i="14" s="1"/>
  <c r="E44" i="14"/>
  <c r="E30" i="14"/>
  <c r="F30" i="14" s="1"/>
  <c r="F44" i="14"/>
  <c r="F46" i="14"/>
  <c r="F32" i="14"/>
  <c r="F28" i="14"/>
  <c r="F38" i="14"/>
  <c r="F48" i="14"/>
  <c r="F54" i="14"/>
  <c r="E29" i="14"/>
  <c r="F29" i="14" s="1"/>
  <c r="D29" i="14"/>
  <c r="D28" i="14"/>
  <c r="E36" i="14"/>
  <c r="E58" i="12"/>
  <c r="D48" i="12"/>
  <c r="D46" i="12"/>
  <c r="D44" i="12"/>
  <c r="D42" i="12"/>
  <c r="D40" i="12"/>
  <c r="D38" i="12"/>
  <c r="D36" i="12"/>
  <c r="D34" i="12"/>
  <c r="D32" i="12"/>
  <c r="D30" i="12"/>
  <c r="B30" i="12"/>
  <c r="B29" i="12"/>
  <c r="C29" i="12" s="1"/>
  <c r="C28" i="12"/>
  <c r="B28" i="12"/>
  <c r="D25" i="12"/>
  <c r="D23" i="12"/>
  <c r="D21" i="12"/>
  <c r="F16" i="12"/>
  <c r="C11" i="12"/>
  <c r="C9" i="12"/>
  <c r="F53" i="14" l="1"/>
  <c r="F55" i="14" s="1"/>
  <c r="D49" i="14"/>
  <c r="F52" i="14"/>
  <c r="E49" i="14"/>
  <c r="F36" i="14"/>
  <c r="F56" i="14" s="1"/>
  <c r="D19" i="12"/>
  <c r="C10" i="12"/>
  <c r="C8" i="12"/>
  <c r="E28" i="12" l="1"/>
  <c r="B7" i="12"/>
  <c r="E46" i="12" s="1"/>
  <c r="E48" i="12" l="1"/>
  <c r="E25" i="12"/>
  <c r="F25" i="12" s="1"/>
  <c r="E21" i="12"/>
  <c r="E40" i="12"/>
  <c r="E38" i="12"/>
  <c r="E42" i="12"/>
  <c r="F42" i="12" s="1"/>
  <c r="E30" i="12"/>
  <c r="E44" i="12"/>
  <c r="F44" i="12" s="1"/>
  <c r="E23" i="12"/>
  <c r="E19" i="12"/>
  <c r="F19" i="12" s="1"/>
  <c r="E32" i="12"/>
  <c r="F46" i="12"/>
  <c r="F28" i="12"/>
  <c r="F58" i="12"/>
  <c r="F38" i="12"/>
  <c r="F21" i="12"/>
  <c r="F30" i="12"/>
  <c r="F40" i="12"/>
  <c r="F48" i="12"/>
  <c r="F23" i="12"/>
  <c r="F32" i="12"/>
  <c r="D29" i="12"/>
  <c r="E29" i="12"/>
  <c r="F29" i="12" s="1"/>
  <c r="D28" i="12"/>
  <c r="D4" i="11"/>
  <c r="B7" i="8"/>
  <c r="B7" i="7"/>
  <c r="B7" i="6"/>
  <c r="B7" i="5"/>
  <c r="B7" i="4"/>
  <c r="B7" i="1"/>
  <c r="E34" i="12" l="1"/>
  <c r="F34" i="12" s="1"/>
  <c r="F52" i="12" s="1"/>
  <c r="E36" i="12"/>
  <c r="F53" i="12"/>
  <c r="F54" i="12"/>
  <c r="D40" i="1"/>
  <c r="H13" i="11"/>
  <c r="G13" i="11"/>
  <c r="H12" i="11"/>
  <c r="G12" i="11"/>
  <c r="J11" i="11"/>
  <c r="I11" i="11"/>
  <c r="J10" i="11"/>
  <c r="I10" i="11"/>
  <c r="J9" i="11"/>
  <c r="H9" i="11"/>
  <c r="G9" i="11"/>
  <c r="G8" i="11"/>
  <c r="J7" i="11"/>
  <c r="I7" i="11"/>
  <c r="H7" i="11"/>
  <c r="I6" i="11"/>
  <c r="E49" i="12" l="1"/>
  <c r="F36" i="12"/>
  <c r="F56" i="12" s="1"/>
  <c r="D49" i="12"/>
  <c r="F55" i="12"/>
  <c r="H7" i="9"/>
  <c r="H9" i="9"/>
  <c r="H10" i="9"/>
  <c r="H11" i="9"/>
  <c r="G7" i="9"/>
  <c r="G10" i="9"/>
  <c r="G11" i="9"/>
  <c r="G6" i="9"/>
  <c r="F7" i="9"/>
  <c r="F9" i="9"/>
  <c r="F12" i="9"/>
  <c r="F13" i="9"/>
  <c r="E8" i="9"/>
  <c r="E9" i="9"/>
  <c r="E12" i="9"/>
  <c r="E13" i="9"/>
  <c r="C14" i="8"/>
  <c r="J12" i="11" s="1"/>
  <c r="C15" i="8"/>
  <c r="J13" i="11" s="1"/>
  <c r="C10" i="8"/>
  <c r="J8" i="11" s="1"/>
  <c r="C8" i="8"/>
  <c r="J6" i="11" s="1"/>
  <c r="C14" i="7"/>
  <c r="I12" i="11" s="1"/>
  <c r="C10" i="7"/>
  <c r="I8" i="11" s="1"/>
  <c r="C15" i="7"/>
  <c r="I13" i="11" s="1"/>
  <c r="C11" i="7"/>
  <c r="I9" i="11" s="1"/>
  <c r="C12" i="6"/>
  <c r="H10" i="11" s="1"/>
  <c r="C13" i="6"/>
  <c r="H11" i="11" s="1"/>
  <c r="C10" i="6"/>
  <c r="H8" i="11" s="1"/>
  <c r="C8" i="6"/>
  <c r="H6" i="11" s="1"/>
  <c r="C12" i="5"/>
  <c r="G10" i="11" s="1"/>
  <c r="C8" i="5"/>
  <c r="G6" i="11" s="1"/>
  <c r="C13" i="5"/>
  <c r="G11" i="11" s="1"/>
  <c r="C9" i="5"/>
  <c r="G7" i="11" s="1"/>
  <c r="F16" i="5"/>
  <c r="G14" i="11" s="1"/>
  <c r="C15" i="4"/>
  <c r="F13" i="11" s="1"/>
  <c r="C14" i="4"/>
  <c r="F12" i="11" s="1"/>
  <c r="C13" i="4"/>
  <c r="F11" i="11" s="1"/>
  <c r="C12" i="4"/>
  <c r="F10" i="11" s="1"/>
  <c r="C11" i="4"/>
  <c r="F9" i="11" s="1"/>
  <c r="C10" i="4"/>
  <c r="F8" i="11" s="1"/>
  <c r="C9" i="4"/>
  <c r="F7" i="11" s="1"/>
  <c r="C8" i="4"/>
  <c r="F6" i="11" s="1"/>
  <c r="C15" i="1"/>
  <c r="E13" i="11" s="1"/>
  <c r="C14" i="1"/>
  <c r="E12" i="11" s="1"/>
  <c r="C13" i="1"/>
  <c r="E11" i="11" s="1"/>
  <c r="C12" i="1"/>
  <c r="E10" i="11" s="1"/>
  <c r="C11" i="1"/>
  <c r="E9" i="11" s="1"/>
  <c r="C10" i="1"/>
  <c r="E8" i="11" s="1"/>
  <c r="C9" i="1"/>
  <c r="E7" i="11" s="1"/>
  <c r="C8" i="1"/>
  <c r="E6" i="11" s="1"/>
  <c r="F16" i="8"/>
  <c r="J14" i="11" s="1"/>
  <c r="F16" i="7"/>
  <c r="I14" i="11" s="1"/>
  <c r="F16" i="6"/>
  <c r="H14" i="11" s="1"/>
  <c r="F16" i="4"/>
  <c r="F14" i="11" s="1"/>
  <c r="F16" i="1"/>
  <c r="B30" i="8"/>
  <c r="B29" i="8"/>
  <c r="C29" i="8" s="1"/>
  <c r="B28" i="8"/>
  <c r="C28" i="8"/>
  <c r="B30" i="7"/>
  <c r="B29" i="7"/>
  <c r="C29" i="7" s="1"/>
  <c r="B28" i="7"/>
  <c r="B30" i="6"/>
  <c r="B29" i="6"/>
  <c r="B28" i="6"/>
  <c r="B30" i="5"/>
  <c r="B29" i="5"/>
  <c r="B28" i="5"/>
  <c r="B30" i="4"/>
  <c r="B29" i="4"/>
  <c r="B28" i="4"/>
  <c r="E58" i="8"/>
  <c r="D48" i="8"/>
  <c r="E48" i="8" s="1"/>
  <c r="D46" i="8"/>
  <c r="E46" i="8" s="1"/>
  <c r="D44" i="8"/>
  <c r="E44" i="8" s="1"/>
  <c r="F44" i="8" s="1"/>
  <c r="J31" i="11" s="1"/>
  <c r="D42" i="8"/>
  <c r="E42" i="8" s="1"/>
  <c r="D40" i="8"/>
  <c r="E40" i="8" s="1"/>
  <c r="D38" i="8"/>
  <c r="E38" i="8" s="1"/>
  <c r="D36" i="8"/>
  <c r="D34" i="8"/>
  <c r="E34" i="8" s="1"/>
  <c r="D32" i="8"/>
  <c r="E32" i="8" s="1"/>
  <c r="D30" i="8"/>
  <c r="E30" i="8" s="1"/>
  <c r="E28" i="8"/>
  <c r="F28" i="8" s="1"/>
  <c r="J17" i="11" s="1"/>
  <c r="D25" i="8"/>
  <c r="E25" i="8" s="1"/>
  <c r="D23" i="8"/>
  <c r="E23" i="8" s="1"/>
  <c r="D21" i="8"/>
  <c r="E21" i="8" s="1"/>
  <c r="D19" i="8"/>
  <c r="E19" i="8" s="1"/>
  <c r="F19" i="8" s="1"/>
  <c r="J23" i="11" s="1"/>
  <c r="D23" i="7"/>
  <c r="E23" i="7" s="1"/>
  <c r="F23" i="7" s="1"/>
  <c r="I25" i="11" s="1"/>
  <c r="E58" i="7"/>
  <c r="D48" i="7"/>
  <c r="E48" i="7" s="1"/>
  <c r="F48" i="7" s="1"/>
  <c r="I30" i="11" s="1"/>
  <c r="D46" i="7"/>
  <c r="E46" i="7" s="1"/>
  <c r="D44" i="7"/>
  <c r="E44" i="7" s="1"/>
  <c r="F44" i="7" s="1"/>
  <c r="I31" i="11" s="1"/>
  <c r="D42" i="7"/>
  <c r="E42" i="7" s="1"/>
  <c r="D40" i="7"/>
  <c r="E40" i="7" s="1"/>
  <c r="F40" i="7" s="1"/>
  <c r="I29" i="11" s="1"/>
  <c r="D38" i="7"/>
  <c r="E38" i="7" s="1"/>
  <c r="D36" i="7"/>
  <c r="D34" i="7"/>
  <c r="E34" i="7" s="1"/>
  <c r="D32" i="7"/>
  <c r="E32" i="7" s="1"/>
  <c r="F32" i="7" s="1"/>
  <c r="I20" i="11" s="1"/>
  <c r="D30" i="7"/>
  <c r="E30" i="7" s="1"/>
  <c r="C28" i="7"/>
  <c r="D28" i="7" s="1"/>
  <c r="D25" i="7"/>
  <c r="E25" i="7" s="1"/>
  <c r="D21" i="7"/>
  <c r="E21" i="7" s="1"/>
  <c r="F21" i="7" s="1"/>
  <c r="G20" i="9" s="1"/>
  <c r="D19" i="7"/>
  <c r="E19" i="7" s="1"/>
  <c r="F19" i="7" s="1"/>
  <c r="I23" i="11" s="1"/>
  <c r="F46" i="8" l="1"/>
  <c r="J26" i="11" s="1"/>
  <c r="D12" i="9"/>
  <c r="F8" i="9"/>
  <c r="F30" i="7"/>
  <c r="I19" i="11" s="1"/>
  <c r="F38" i="7"/>
  <c r="I27" i="11" s="1"/>
  <c r="F46" i="7"/>
  <c r="I26" i="11" s="1"/>
  <c r="F25" i="7"/>
  <c r="I24" i="11" s="1"/>
  <c r="F34" i="7"/>
  <c r="I21" i="11" s="1"/>
  <c r="F42" i="7"/>
  <c r="F54" i="7" s="1"/>
  <c r="F58" i="7"/>
  <c r="I39" i="11" s="1"/>
  <c r="D6" i="9"/>
  <c r="G12" i="9"/>
  <c r="H12" i="9"/>
  <c r="H8" i="9"/>
  <c r="C10" i="9"/>
  <c r="D8" i="9"/>
  <c r="F10" i="9"/>
  <c r="F23" i="8"/>
  <c r="H22" i="9" s="1"/>
  <c r="F48" i="8"/>
  <c r="J30" i="11" s="1"/>
  <c r="C6" i="9"/>
  <c r="D10" i="9"/>
  <c r="E10" i="9"/>
  <c r="D14" i="9"/>
  <c r="G8" i="9"/>
  <c r="F14" i="9"/>
  <c r="F21" i="8"/>
  <c r="H20" i="9" s="1"/>
  <c r="F30" i="8"/>
  <c r="F38" i="8"/>
  <c r="C8" i="9"/>
  <c r="D11" i="9"/>
  <c r="D7" i="9"/>
  <c r="E11" i="9"/>
  <c r="E7" i="9"/>
  <c r="F11" i="9"/>
  <c r="G14" i="9"/>
  <c r="F32" i="8"/>
  <c r="J20" i="11" s="1"/>
  <c r="F40" i="8"/>
  <c r="J29" i="11" s="1"/>
  <c r="E6" i="9"/>
  <c r="F6" i="9"/>
  <c r="H6" i="9"/>
  <c r="H14" i="9"/>
  <c r="F25" i="8"/>
  <c r="J24" i="11" s="1"/>
  <c r="F34" i="8"/>
  <c r="J21" i="11" s="1"/>
  <c r="F42" i="8"/>
  <c r="F58" i="8"/>
  <c r="C12" i="9"/>
  <c r="D13" i="9"/>
  <c r="D9" i="9"/>
  <c r="G13" i="9"/>
  <c r="G9" i="9"/>
  <c r="H13" i="9"/>
  <c r="E14" i="9"/>
  <c r="H18" i="9"/>
  <c r="C14" i="9"/>
  <c r="E14" i="11"/>
  <c r="C11" i="9"/>
  <c r="C7" i="9"/>
  <c r="C13" i="9"/>
  <c r="C9" i="9"/>
  <c r="G47" i="9"/>
  <c r="G18" i="9"/>
  <c r="H43" i="9"/>
  <c r="G22" i="9"/>
  <c r="G31" i="9"/>
  <c r="G39" i="9"/>
  <c r="G43" i="9"/>
  <c r="H27" i="9"/>
  <c r="G24" i="9"/>
  <c r="H45" i="9"/>
  <c r="E28" i="7"/>
  <c r="F28" i="7" s="1"/>
  <c r="I17" i="11" s="1"/>
  <c r="D29" i="8"/>
  <c r="E29" i="8"/>
  <c r="F29" i="8" s="1"/>
  <c r="J18" i="11" s="1"/>
  <c r="E36" i="8"/>
  <c r="D28" i="8"/>
  <c r="E29" i="7"/>
  <c r="F29" i="7" s="1"/>
  <c r="I18" i="11" s="1"/>
  <c r="D29" i="7"/>
  <c r="D49" i="7" s="1"/>
  <c r="E36" i="7"/>
  <c r="E58" i="5"/>
  <c r="D48" i="5"/>
  <c r="D46" i="5"/>
  <c r="E46" i="5" s="1"/>
  <c r="F46" i="5" s="1"/>
  <c r="G26" i="11" s="1"/>
  <c r="D44" i="5"/>
  <c r="E44" i="5" s="1"/>
  <c r="F44" i="5" s="1"/>
  <c r="G31" i="11" s="1"/>
  <c r="D42" i="5"/>
  <c r="E42" i="5" s="1"/>
  <c r="F42" i="5" s="1"/>
  <c r="D40" i="5"/>
  <c r="E40" i="5" s="1"/>
  <c r="F40" i="5" s="1"/>
  <c r="G29" i="11" s="1"/>
  <c r="D38" i="5"/>
  <c r="E38" i="5" s="1"/>
  <c r="F38" i="5" s="1"/>
  <c r="G27" i="11" s="1"/>
  <c r="D34" i="5"/>
  <c r="D32" i="5"/>
  <c r="D30" i="5"/>
  <c r="C28" i="5"/>
  <c r="D23" i="5"/>
  <c r="E23" i="5" s="1"/>
  <c r="F23" i="5" s="1"/>
  <c r="G25" i="11" s="1"/>
  <c r="D21" i="5"/>
  <c r="E21" i="5" s="1"/>
  <c r="F21" i="5" s="1"/>
  <c r="D19" i="5"/>
  <c r="E19" i="5" s="1"/>
  <c r="F19" i="5" s="1"/>
  <c r="G23" i="11" s="1"/>
  <c r="E58" i="6"/>
  <c r="F58" i="6" s="1"/>
  <c r="D46" i="6"/>
  <c r="E46" i="6" s="1"/>
  <c r="F46" i="6" s="1"/>
  <c r="H26" i="11" s="1"/>
  <c r="D44" i="6"/>
  <c r="E44" i="6" s="1"/>
  <c r="F44" i="6" s="1"/>
  <c r="H31" i="11" s="1"/>
  <c r="D42" i="6"/>
  <c r="E42" i="6" s="1"/>
  <c r="F42" i="6" s="1"/>
  <c r="D40" i="6"/>
  <c r="E40" i="6" s="1"/>
  <c r="F40" i="6" s="1"/>
  <c r="H29" i="11" s="1"/>
  <c r="D38" i="6"/>
  <c r="E38" i="6" s="1"/>
  <c r="F38" i="6" s="1"/>
  <c r="H27" i="11" s="1"/>
  <c r="D23" i="6"/>
  <c r="E23" i="6" s="1"/>
  <c r="F23" i="6" s="1"/>
  <c r="H25" i="11" s="1"/>
  <c r="D21" i="6"/>
  <c r="E21" i="6" s="1"/>
  <c r="F21" i="6" s="1"/>
  <c r="D19" i="6"/>
  <c r="E19" i="6" s="1"/>
  <c r="F19" i="6" s="1"/>
  <c r="H23" i="11" s="1"/>
  <c r="E58" i="4"/>
  <c r="D48" i="4"/>
  <c r="D46" i="4"/>
  <c r="D44" i="4"/>
  <c r="D42" i="4"/>
  <c r="D40" i="4"/>
  <c r="D38" i="4"/>
  <c r="D34" i="4"/>
  <c r="D32" i="4"/>
  <c r="C28" i="4"/>
  <c r="D23" i="4"/>
  <c r="D21" i="4"/>
  <c r="D19" i="4"/>
  <c r="F58" i="5"/>
  <c r="G57" i="9" l="1"/>
  <c r="G33" i="9"/>
  <c r="I36" i="11"/>
  <c r="G29" i="9"/>
  <c r="G45" i="9"/>
  <c r="D49" i="8"/>
  <c r="F54" i="8"/>
  <c r="H53" i="9" s="1"/>
  <c r="G41" i="9"/>
  <c r="G37" i="9"/>
  <c r="I32" i="11"/>
  <c r="I37" i="11" s="1"/>
  <c r="J25" i="11"/>
  <c r="H24" i="9"/>
  <c r="F53" i="7"/>
  <c r="G52" i="9" s="1"/>
  <c r="H31" i="9"/>
  <c r="J32" i="11"/>
  <c r="J37" i="11" s="1"/>
  <c r="H47" i="9"/>
  <c r="F53" i="8"/>
  <c r="H39" i="9"/>
  <c r="H41" i="9"/>
  <c r="J19" i="11"/>
  <c r="J35" i="11" s="1"/>
  <c r="H29" i="9"/>
  <c r="F57" i="9"/>
  <c r="H39" i="11"/>
  <c r="H33" i="9"/>
  <c r="H32" i="11"/>
  <c r="J39" i="11"/>
  <c r="H57" i="9"/>
  <c r="E57" i="9"/>
  <c r="G39" i="11"/>
  <c r="G32" i="11"/>
  <c r="I35" i="11"/>
  <c r="J27" i="11"/>
  <c r="J36" i="11" s="1"/>
  <c r="H37" i="9"/>
  <c r="F45" i="9"/>
  <c r="E43" i="9"/>
  <c r="F39" i="9"/>
  <c r="E45" i="9"/>
  <c r="F20" i="9"/>
  <c r="F41" i="9"/>
  <c r="E18" i="9"/>
  <c r="E39" i="9"/>
  <c r="F37" i="9"/>
  <c r="E22" i="9"/>
  <c r="G53" i="9"/>
  <c r="F18" i="9"/>
  <c r="E37" i="9"/>
  <c r="F22" i="9"/>
  <c r="F43" i="9"/>
  <c r="E20" i="9"/>
  <c r="E41" i="9"/>
  <c r="H52" i="9"/>
  <c r="G27" i="9"/>
  <c r="F52" i="7"/>
  <c r="G28" i="9"/>
  <c r="F52" i="8"/>
  <c r="H28" i="9"/>
  <c r="E49" i="8"/>
  <c r="F36" i="8"/>
  <c r="E49" i="7"/>
  <c r="F36" i="7"/>
  <c r="C28" i="6"/>
  <c r="E28" i="5"/>
  <c r="F28" i="5" s="1"/>
  <c r="G17" i="11" s="1"/>
  <c r="D28" i="5"/>
  <c r="F55" i="7" l="1"/>
  <c r="G54" i="9" s="1"/>
  <c r="I38" i="11"/>
  <c r="J38" i="11"/>
  <c r="E27" i="9"/>
  <c r="H51" i="9"/>
  <c r="G51" i="9"/>
  <c r="F56" i="8"/>
  <c r="J41" i="11" s="1"/>
  <c r="H35" i="9"/>
  <c r="F56" i="7"/>
  <c r="I41" i="11" s="1"/>
  <c r="G35" i="9"/>
  <c r="F55" i="8"/>
  <c r="D25" i="6"/>
  <c r="E25" i="6" s="1"/>
  <c r="F25" i="6" s="1"/>
  <c r="H24" i="11" s="1"/>
  <c r="H36" i="11" s="1"/>
  <c r="D25" i="5"/>
  <c r="E25" i="5" s="1"/>
  <c r="F25" i="5" s="1"/>
  <c r="G24" i="11" s="1"/>
  <c r="G36" i="11" s="1"/>
  <c r="E28" i="6"/>
  <c r="F28" i="6" s="1"/>
  <c r="H17" i="11" s="1"/>
  <c r="D28" i="6"/>
  <c r="D48" i="6"/>
  <c r="E48" i="6" s="1"/>
  <c r="F48" i="6" s="1"/>
  <c r="H30" i="11" s="1"/>
  <c r="H37" i="11" s="1"/>
  <c r="E32" i="5"/>
  <c r="F32" i="5" s="1"/>
  <c r="G20" i="11" s="1"/>
  <c r="D32" i="6"/>
  <c r="E32" i="6" s="1"/>
  <c r="F32" i="6" s="1"/>
  <c r="H20" i="11" s="1"/>
  <c r="E48" i="5"/>
  <c r="F48" i="5" s="1"/>
  <c r="G30" i="11" s="1"/>
  <c r="G37" i="11" s="1"/>
  <c r="H54" i="9" l="1"/>
  <c r="H55" i="9"/>
  <c r="F31" i="9"/>
  <c r="F27" i="9"/>
  <c r="E31" i="9"/>
  <c r="G55" i="9"/>
  <c r="F54" i="5"/>
  <c r="E47" i="9"/>
  <c r="F53" i="5"/>
  <c r="E24" i="9"/>
  <c r="F54" i="6"/>
  <c r="F47" i="9"/>
  <c r="F53" i="6"/>
  <c r="F24" i="9"/>
  <c r="D25" i="4"/>
  <c r="D44" i="1"/>
  <c r="F53" i="9" l="1"/>
  <c r="E53" i="9"/>
  <c r="F52" i="9"/>
  <c r="E52" i="9"/>
  <c r="C29" i="5"/>
  <c r="C29" i="6"/>
  <c r="E34" i="5"/>
  <c r="F34" i="5" s="1"/>
  <c r="G21" i="11" s="1"/>
  <c r="D34" i="6"/>
  <c r="E34" i="6" s="1"/>
  <c r="F34" i="6" s="1"/>
  <c r="H21" i="11" s="1"/>
  <c r="F58" i="4"/>
  <c r="E58" i="1"/>
  <c r="F58" i="1" s="1"/>
  <c r="E39" i="11" s="1"/>
  <c r="D19" i="1"/>
  <c r="D57" i="9" l="1"/>
  <c r="F39" i="11"/>
  <c r="C57" i="9"/>
  <c r="E33" i="9"/>
  <c r="F33" i="9"/>
  <c r="D36" i="5"/>
  <c r="E29" i="5"/>
  <c r="F29" i="5" s="1"/>
  <c r="G18" i="11" s="1"/>
  <c r="D29" i="5"/>
  <c r="E29" i="6"/>
  <c r="F29" i="6" s="1"/>
  <c r="H18" i="11" s="1"/>
  <c r="D29" i="6"/>
  <c r="E30" i="5"/>
  <c r="F30" i="5" s="1"/>
  <c r="G19" i="11" s="1"/>
  <c r="D30" i="6"/>
  <c r="D30" i="4"/>
  <c r="E30" i="4" s="1"/>
  <c r="F30" i="4" s="1"/>
  <c r="F19" i="11" s="1"/>
  <c r="E46" i="4"/>
  <c r="F46" i="4" s="1"/>
  <c r="F26" i="11" s="1"/>
  <c r="E44" i="4"/>
  <c r="F44" i="4" s="1"/>
  <c r="F31" i="11" s="1"/>
  <c r="E42" i="4"/>
  <c r="F42" i="4" s="1"/>
  <c r="E40" i="4"/>
  <c r="F40" i="4" s="1"/>
  <c r="F29" i="11" s="1"/>
  <c r="E38" i="4"/>
  <c r="F38" i="4" s="1"/>
  <c r="F27" i="11" s="1"/>
  <c r="E34" i="4"/>
  <c r="F34" i="4" s="1"/>
  <c r="F21" i="11" s="1"/>
  <c r="E32" i="4"/>
  <c r="F32" i="4" s="1"/>
  <c r="F20" i="11" s="1"/>
  <c r="C29" i="4"/>
  <c r="E28" i="4"/>
  <c r="F28" i="4" s="1"/>
  <c r="F17" i="11" s="1"/>
  <c r="E23" i="4"/>
  <c r="F23" i="4" s="1"/>
  <c r="F25" i="11" s="1"/>
  <c r="E21" i="4"/>
  <c r="F21" i="4" s="1"/>
  <c r="E19" i="4"/>
  <c r="F19" i="4" s="1"/>
  <c r="F23" i="11" s="1"/>
  <c r="E19" i="1"/>
  <c r="F19" i="1" s="1"/>
  <c r="D46" i="1"/>
  <c r="E46" i="1" s="1"/>
  <c r="F46" i="1" s="1"/>
  <c r="E26" i="11" s="1"/>
  <c r="E44" i="1"/>
  <c r="F44" i="1" s="1"/>
  <c r="E31" i="11" s="1"/>
  <c r="C28" i="1"/>
  <c r="D28" i="1" s="1"/>
  <c r="B28" i="1"/>
  <c r="D42" i="1"/>
  <c r="E42" i="1" s="1"/>
  <c r="F42" i="1" s="1"/>
  <c r="D21" i="1"/>
  <c r="E21" i="1" s="1"/>
  <c r="F21" i="1" s="1"/>
  <c r="B29" i="1"/>
  <c r="C29" i="1" s="1"/>
  <c r="E29" i="1" s="1"/>
  <c r="F29" i="1" s="1"/>
  <c r="E18" i="11" s="1"/>
  <c r="E23" i="11" l="1"/>
  <c r="F32" i="11"/>
  <c r="E32" i="11"/>
  <c r="G35" i="11"/>
  <c r="G38" i="11" s="1"/>
  <c r="C20" i="9"/>
  <c r="D20" i="9"/>
  <c r="D31" i="9"/>
  <c r="D41" i="9"/>
  <c r="C41" i="9"/>
  <c r="C45" i="9"/>
  <c r="D22" i="9"/>
  <c r="D33" i="9"/>
  <c r="D43" i="9"/>
  <c r="E28" i="9"/>
  <c r="C18" i="9"/>
  <c r="D27" i="9"/>
  <c r="D37" i="9"/>
  <c r="D45" i="9"/>
  <c r="C28" i="9"/>
  <c r="D18" i="9"/>
  <c r="D39" i="9"/>
  <c r="D29" i="9"/>
  <c r="F28" i="9"/>
  <c r="C43" i="9"/>
  <c r="F52" i="5"/>
  <c r="E29" i="9"/>
  <c r="D36" i="4"/>
  <c r="E30" i="6"/>
  <c r="E48" i="4"/>
  <c r="F48" i="4" s="1"/>
  <c r="F30" i="11" s="1"/>
  <c r="D29" i="4"/>
  <c r="D28" i="4"/>
  <c r="E28" i="1"/>
  <c r="F28" i="1" s="1"/>
  <c r="E17" i="11" s="1"/>
  <c r="D29" i="1"/>
  <c r="D38" i="1"/>
  <c r="E38" i="1" s="1"/>
  <c r="F38" i="1" s="1"/>
  <c r="E27" i="11" s="1"/>
  <c r="D30" i="1"/>
  <c r="E30" i="1" s="1"/>
  <c r="F30" i="1" s="1"/>
  <c r="E19" i="11" s="1"/>
  <c r="B30" i="1"/>
  <c r="F37" i="11" l="1"/>
  <c r="C29" i="9"/>
  <c r="C37" i="9"/>
  <c r="C27" i="9"/>
  <c r="F55" i="5"/>
  <c r="E51" i="9"/>
  <c r="F54" i="4"/>
  <c r="D47" i="9"/>
  <c r="F30" i="6"/>
  <c r="H19" i="11" s="1"/>
  <c r="H35" i="11" s="1"/>
  <c r="H38" i="11" s="1"/>
  <c r="D36" i="6"/>
  <c r="E29" i="4"/>
  <c r="F29" i="4" s="1"/>
  <c r="F18" i="11" s="1"/>
  <c r="F35" i="11" s="1"/>
  <c r="E40" i="1"/>
  <c r="F40" i="1" s="1"/>
  <c r="E29" i="11" s="1"/>
  <c r="E54" i="9" l="1"/>
  <c r="C39" i="9"/>
  <c r="D53" i="9"/>
  <c r="F52" i="6"/>
  <c r="F29" i="9"/>
  <c r="F52" i="4"/>
  <c r="D28" i="9"/>
  <c r="D23" i="1"/>
  <c r="E23" i="1" s="1"/>
  <c r="F23" i="1" s="1"/>
  <c r="E36" i="6"/>
  <c r="D49" i="6"/>
  <c r="E36" i="5"/>
  <c r="D49" i="5"/>
  <c r="D34" i="1"/>
  <c r="E34" i="1" s="1"/>
  <c r="F34" i="1" s="1"/>
  <c r="E21" i="11" s="1"/>
  <c r="D32" i="1"/>
  <c r="E32" i="1" s="1"/>
  <c r="F32" i="1" s="1"/>
  <c r="E20" i="11" s="1"/>
  <c r="E35" i="11" l="1"/>
  <c r="E25" i="11"/>
  <c r="C22" i="9"/>
  <c r="C31" i="9"/>
  <c r="D51" i="9"/>
  <c r="C33" i="9"/>
  <c r="F55" i="6"/>
  <c r="F51" i="9"/>
  <c r="F36" i="6"/>
  <c r="E49" i="6"/>
  <c r="F36" i="5"/>
  <c r="E49" i="5"/>
  <c r="F52" i="1"/>
  <c r="E25" i="4"/>
  <c r="F25" i="4" s="1"/>
  <c r="F24" i="11" s="1"/>
  <c r="F36" i="11" s="1"/>
  <c r="F38" i="11" s="1"/>
  <c r="C51" i="9" l="1"/>
  <c r="F54" i="9"/>
  <c r="F56" i="6"/>
  <c r="H41" i="11" s="1"/>
  <c r="F35" i="9"/>
  <c r="F56" i="5"/>
  <c r="G41" i="11" s="1"/>
  <c r="E35" i="9"/>
  <c r="F53" i="4"/>
  <c r="D24" i="9"/>
  <c r="E36" i="4"/>
  <c r="D49" i="4"/>
  <c r="E55" i="9" l="1"/>
  <c r="F55" i="9"/>
  <c r="F55" i="4"/>
  <c r="D52" i="9"/>
  <c r="F36" i="4"/>
  <c r="E49" i="4"/>
  <c r="D54" i="9" l="1"/>
  <c r="F56" i="4"/>
  <c r="F41" i="11" s="1"/>
  <c r="D35" i="9"/>
  <c r="D48" i="1"/>
  <c r="E48" i="1" s="1"/>
  <c r="F48" i="1" s="1"/>
  <c r="E30" i="11" s="1"/>
  <c r="E37" i="11" s="1"/>
  <c r="D55" i="9" l="1"/>
  <c r="F54" i="1"/>
  <c r="C47" i="9"/>
  <c r="D25" i="1"/>
  <c r="E25" i="1" s="1"/>
  <c r="F25" i="1" s="1"/>
  <c r="E24" i="11" l="1"/>
  <c r="E36" i="11" s="1"/>
  <c r="E38" i="11" s="1"/>
  <c r="F53" i="1"/>
  <c r="C53" i="9"/>
  <c r="C24" i="9"/>
  <c r="D36" i="1"/>
  <c r="F55" i="1" l="1"/>
  <c r="C52" i="9"/>
  <c r="E36" i="1"/>
  <c r="D49" i="1"/>
  <c r="C54" i="9" l="1"/>
  <c r="F36" i="1"/>
  <c r="E49" i="1"/>
  <c r="F56" i="1" l="1"/>
  <c r="E41" i="11" s="1"/>
  <c r="C35" i="9"/>
  <c r="C55" i="9" l="1"/>
</calcChain>
</file>

<file path=xl/sharedStrings.xml><?xml version="1.0" encoding="utf-8"?>
<sst xmlns="http://schemas.openxmlformats.org/spreadsheetml/2006/main" count="606" uniqueCount="111">
  <si>
    <t>TA6V</t>
  </si>
  <si>
    <t>Tonnage</t>
  </si>
  <si>
    <t>Calcul sur base année pleine 2022</t>
  </si>
  <si>
    <t>Eponges</t>
  </si>
  <si>
    <t>Qualité STD</t>
  </si>
  <si>
    <t>Coûts MO Direct</t>
  </si>
  <si>
    <t>Coûts énergie électrique</t>
  </si>
  <si>
    <t>Coûts Matières</t>
  </si>
  <si>
    <t>Scrap</t>
  </si>
  <si>
    <t>Alliages mères</t>
  </si>
  <si>
    <t>Coûts stock (BFR)</t>
  </si>
  <si>
    <t>Coûts maintenance</t>
  </si>
  <si>
    <t>Coûts de l'eau</t>
  </si>
  <si>
    <t>Autres coûts (prestations de service)</t>
  </si>
  <si>
    <t>$</t>
  </si>
  <si>
    <t>€</t>
  </si>
  <si>
    <t>Somme en $</t>
  </si>
  <si>
    <t>Coût du processing</t>
  </si>
  <si>
    <t>Coût du transport</t>
  </si>
  <si>
    <t>Total en $/kg</t>
  </si>
  <si>
    <t>Base de calcul : Cpte expl V38 capitaux 2 ans démarrage début 2015 base ==&gt; fichier de la DAE</t>
  </si>
  <si>
    <t>Coûts d'investissement équipements</t>
  </si>
  <si>
    <t>Coûts autres investissements</t>
  </si>
  <si>
    <t>Commentaires</t>
  </si>
  <si>
    <t>Eponges à 10$/kg</t>
  </si>
  <si>
    <t>scrap non procéssés</t>
  </si>
  <si>
    <t>CF = +2%/an</t>
  </si>
  <si>
    <t>Equipement de production (préparation, PAM, VAR, Melangeage, parachèvement, ponts, électricité)</t>
  </si>
  <si>
    <t xml:space="preserve">Coût autre </t>
  </si>
  <si>
    <t>CF = +3%/an</t>
  </si>
  <si>
    <t>CF = +1%/an</t>
  </si>
  <si>
    <t>VRD, GC, bâtiments, SI, équipe projet dont ERI, DNR</t>
  </si>
  <si>
    <t>Salaires indirects</t>
  </si>
  <si>
    <t>Coûts MO indirect</t>
  </si>
  <si>
    <r>
      <t xml:space="preserve">FGP hors salaires, FGU, prestations service Ancizes, </t>
    </r>
    <r>
      <rPr>
        <sz val="11"/>
        <color rgb="FFFF0000"/>
        <rFont val="Calibri"/>
        <family val="2"/>
        <scheme val="minor"/>
      </rPr>
      <t>sans les fees</t>
    </r>
  </si>
  <si>
    <t>Prix de vente</t>
  </si>
  <si>
    <t>Hors vente de chutes internes</t>
  </si>
  <si>
    <t>Parité €/$ :</t>
  </si>
  <si>
    <t xml:space="preserve">Faire chiffrer le coût de la découpe des massives : </t>
  </si>
  <si>
    <t>100% copeaux</t>
  </si>
  <si>
    <t>100% massifs avec caisses</t>
  </si>
  <si>
    <t>100% massifs découpés</t>
  </si>
  <si>
    <t>CF = +3%/an. Tonnes de copeaux et massifs à processés</t>
  </si>
  <si>
    <t>CF = +2%/an. 5 x8 ,7j/7, 46 s/an, Nombre opérateurs : 44</t>
  </si>
  <si>
    <t>Cycle : Chutes 9 semaines, Eponges/alliages 5 semaines, Production 5 semaines</t>
  </si>
  <si>
    <r>
      <t xml:space="preserve">FGP hors salaires, FGU, prestations service Ancizes, </t>
    </r>
    <r>
      <rPr>
        <sz val="11"/>
        <color rgb="FFFF0000"/>
        <rFont val="Calibri"/>
        <family val="2"/>
        <scheme val="minor"/>
      </rPr>
      <t>Pas de Fees d'UKAD ou d'A&amp;D</t>
    </r>
  </si>
  <si>
    <t>Salaires indirects (14 ETAM, 4 ingénieurs)</t>
  </si>
  <si>
    <t>CF = +6%/an. Fusion PAM et VAR : 7181 KWh/t.</t>
  </si>
  <si>
    <t>Ajout de 200 k€ de coûts de qualification en 2022 (et 100 k€ de + en 2021, pour avoir une continuité)</t>
  </si>
  <si>
    <t>Coûts R&amp;D et qualification</t>
  </si>
  <si>
    <t>Chiffrage comparatif :</t>
  </si>
  <si>
    <t>CF = +2%/an. 5 x8 ,7j/7, 46 s/an, Nombre opérateurs : 49</t>
  </si>
  <si>
    <t>CF = +6%/an. Fusion PAM et VAR : 8159 KWh/t.</t>
  </si>
  <si>
    <t>Cycle : Chutes 10 semaines, Eponges/alliages 6 semaines, Production 6 semaines</t>
  </si>
  <si>
    <t>VM</t>
  </si>
  <si>
    <t>VA Directe</t>
  </si>
  <si>
    <t>FG et Amortissements</t>
  </si>
  <si>
    <t>Total</t>
  </si>
  <si>
    <t>Stock</t>
  </si>
  <si>
    <t>Base de coûts : 2014</t>
  </si>
  <si>
    <t xml:space="preserve">Base de calcul : Cpte expl V38 capitaux 2 ans démarrage début 2015 base DR </t>
  </si>
  <si>
    <t>Base de calcul : Cpte expl V38 capitaux 2 ans démarrage début 2015 base DR M à 1 C à 0,6 $ kg</t>
  </si>
  <si>
    <t>consommables (CF = +2%/an), BE et frais auxiliaires. 
Caisses = 1659 k€
Analyses Labo = 675 k€
Usinage = 53 k€
prestations diverses = 275 k€ (entretien lingotières, achat gaz bouteilles, nettoyage équipements, stubs...)
Electricité annexe + air comprimé + gaz (hors hélium) + traitement eau = 169 k€
Hélium : estimation de 6000 m3/an, soit 60 k€ ?
BE = 22 k€</t>
  </si>
  <si>
    <t>consommables (CF = +2%/an), BE et frais auxiliaires. 
Caisses = 1659 k€
Analyses Labo = 675 k€
Usinage = 49 k€
prestations diverses = 300 k€ (entretien lingotières, achat gaz bouteilles, nettoyage équipements, stubs...)
Electricité annexe + air comprimé + traitement eau = 301 k€
Hélium : estimation de 6000 m3/an, soit 60 k€ 
BE = 22 k€</t>
  </si>
  <si>
    <t>consommables (CF = +2%/an), BE et frais auxiliaires. 
Caisses = 0 k€
Analyses Labo = 675 k€
Usinage = 53 k€
prestations diverses = 275 k€ (entretien lingotières, achat gaz bouteilles, nettoyage équipements, stubs...)
Electricité annexe + air comprimé + traitement eau = 169 k€
Hélium : estimation de 6000 m3/an, soit 60 k€ 
BE = 14 k€</t>
  </si>
  <si>
    <t>Base de calcul : Cpte expl V38 capitaux 2 ans démarrage début 2015 base DR M à 38% C à 20%</t>
  </si>
  <si>
    <t>Prix de revient EcoTitanium ($/kg)</t>
  </si>
  <si>
    <t>Prix de revient EcoTitanium  ($/kg)</t>
  </si>
  <si>
    <t>Qualité DQ</t>
  </si>
  <si>
    <t>Qualité DQ (2 refusions VAR)</t>
  </si>
  <si>
    <t>Massifs EC</t>
  </si>
  <si>
    <t>Massifs ML</t>
  </si>
  <si>
    <t>Copeaux EC</t>
  </si>
  <si>
    <t>Copoeaux ML</t>
  </si>
  <si>
    <t>Prix ($/kg)</t>
  </si>
  <si>
    <t>Tonnage (t)</t>
  </si>
  <si>
    <t>Qualité DQ, 100% EC</t>
  </si>
  <si>
    <t>Qualité DQ, 100% EC et 100% Copeaux</t>
  </si>
  <si>
    <t>Qualité DQ, 100% ML</t>
  </si>
  <si>
    <t>Qualité DQ, 100% ML et 100% Copeaux</t>
  </si>
  <si>
    <t xml:space="preserve">Total </t>
  </si>
  <si>
    <t>Décomposition EcoTitanium pour SAFRAN en $/kg</t>
  </si>
  <si>
    <t>Mixte M, C du BP</t>
  </si>
  <si>
    <t>100% EC, Mixte M,C du BP</t>
  </si>
  <si>
    <t>100% EC, 100% Copeaux</t>
  </si>
  <si>
    <t>100% ML, Mixte M,C du BP</t>
  </si>
  <si>
    <t>100% ML, 100% Copeaux</t>
  </si>
  <si>
    <t>Amortissements</t>
  </si>
  <si>
    <t>VM en $/kg</t>
  </si>
  <si>
    <t>VAD en $/kg</t>
  </si>
  <si>
    <t>Frais généraux et amortissements en $/kg</t>
  </si>
  <si>
    <t>R&amp;D et qualification</t>
  </si>
  <si>
    <t>Maintenance</t>
  </si>
  <si>
    <t>Eau potable</t>
  </si>
  <si>
    <t>Consommables, BE, frais auxiliaires, énergie hors électricité et eau potable</t>
  </si>
  <si>
    <t xml:space="preserve">MO FGP </t>
  </si>
  <si>
    <t>FGP (consommables et divers hors salaires) et FGU (dont la recfacturation prestation AD)</t>
  </si>
  <si>
    <t>Scraps (massifs ou copeaux)</t>
  </si>
  <si>
    <t>Electricité</t>
  </si>
  <si>
    <t>MO Directe</t>
  </si>
  <si>
    <t>Copeaux ML</t>
  </si>
  <si>
    <t>Impact stock</t>
  </si>
  <si>
    <t>Prix de vente ($/kg)</t>
  </si>
  <si>
    <t>Tonnage lingot (t)</t>
  </si>
  <si>
    <t>Base de calcul : Cpte expl V38 capitaux 2 ans démarrage début 2015 base DR 100% C à 0,6 $ kg</t>
  </si>
  <si>
    <t>Base de calcul : Cpte expl V38 capitaux 2 ans démarrage début 2015 base DR 100% C à 20%</t>
  </si>
  <si>
    <t>Base de calcul : Cpte expl V38 capitaux 2 ans démarrage début 2015 base DR 100% M à 1 $ kg</t>
  </si>
  <si>
    <t>Base de calcul : Cpte expl V38 capitaux 2 ans démarrage début 2015 base DR 100% M à 38%</t>
  </si>
  <si>
    <t>Mixte Massifs (M) et Copeaux (C) du BP</t>
  </si>
  <si>
    <t>Qualité DQ, 100% EC et 100% Massifs</t>
  </si>
  <si>
    <t>consommables (CF = +2%/an), BE et frais auxiliaires. 
Caisses = 3663 k€
Analyses Labo = 675 k€
Usinage = 53 k€
prestations diverses = 275 k€ (entretien lingotières, achat gaz bouteilles, nettoyage équipements, stubs...)
Electricité annexe + air comprimé + traitement eau = 169 k€
Hélium : estimation de 6000 m3/an, soit 60 k€ 
BE = 14 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</si>
</sst>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0.000000000"/>
    <numFmt numFmtId="166" formatCode="0.0"/>
    <numFmt numFmtId="167" formatCode="#,0##\t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0" xfId="0" applyNumberFormat="1" applyAlignment="1">
      <alignment horizontal="left"/>
    </xf>
    <xf numFmtId="2" fontId="3" fillId="0" borderId="0" xfId="0" applyNumberFormat="1" applyFont="1" applyAlignment="1">
      <alignment horizontal="left"/>
    </xf>
    <xf numFmtId="9" fontId="0" fillId="0" borderId="0" xfId="2" applyFont="1" applyAlignment="1">
      <alignment horizontal="left"/>
    </xf>
    <xf numFmtId="2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3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left"/>
    </xf>
    <xf numFmtId="1" fontId="0" fillId="0" borderId="1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0" xfId="0" applyNumberFormat="1"/>
    <xf numFmtId="43" fontId="0" fillId="0" borderId="1" xfId="0" applyNumberFormat="1" applyBorder="1" applyAlignment="1">
      <alignment horizontal="center"/>
    </xf>
    <xf numFmtId="43" fontId="0" fillId="0" borderId="0" xfId="0" applyNumberFormat="1"/>
    <xf numFmtId="0" fontId="0" fillId="0" borderId="0" xfId="0" applyAlignment="1">
      <alignment horizontal="left" indent="3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wrapText="1"/>
    </xf>
    <xf numFmtId="3" fontId="0" fillId="0" borderId="0" xfId="0" applyNumberFormat="1"/>
    <xf numFmtId="164" fontId="0" fillId="0" borderId="1" xfId="1" applyNumberFormat="1" applyFont="1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/>
    <xf numFmtId="2" fontId="0" fillId="0" borderId="6" xfId="0" applyNumberFormat="1" applyFont="1" applyBorder="1" applyAlignment="1">
      <alignment horizontal="left" indent="3"/>
    </xf>
    <xf numFmtId="0" fontId="0" fillId="0" borderId="0" xfId="0" applyBorder="1"/>
    <xf numFmtId="43" fontId="0" fillId="0" borderId="2" xfId="0" applyNumberFormat="1" applyBorder="1"/>
    <xf numFmtId="2" fontId="0" fillId="0" borderId="6" xfId="0" applyNumberFormat="1" applyFont="1" applyBorder="1" applyAlignment="1">
      <alignment horizontal="right"/>
    </xf>
    <xf numFmtId="2" fontId="0" fillId="0" borderId="7" xfId="0" applyNumberFormat="1" applyFont="1" applyBorder="1" applyAlignment="1">
      <alignment horizontal="left"/>
    </xf>
    <xf numFmtId="0" fontId="0" fillId="0" borderId="8" xfId="0" applyBorder="1"/>
    <xf numFmtId="43" fontId="0" fillId="0" borderId="9" xfId="0" applyNumberFormat="1" applyBorder="1"/>
    <xf numFmtId="0" fontId="0" fillId="2" borderId="1" xfId="0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/>
    </xf>
    <xf numFmtId="43" fontId="0" fillId="0" borderId="11" xfId="0" applyNumberFormat="1" applyBorder="1" applyAlignment="1">
      <alignment horizontal="center"/>
    </xf>
    <xf numFmtId="43" fontId="0" fillId="0" borderId="12" xfId="0" applyNumberFormat="1" applyBorder="1" applyAlignment="1">
      <alignment horizontal="center"/>
    </xf>
    <xf numFmtId="0" fontId="0" fillId="4" borderId="0" xfId="0" applyFill="1" applyAlignment="1">
      <alignment horizontal="center" vertical="center" wrapText="1"/>
    </xf>
    <xf numFmtId="167" fontId="0" fillId="4" borderId="0" xfId="0" applyNumberFormat="1" applyFill="1" applyBorder="1" applyAlignment="1">
      <alignment horizontal="center"/>
    </xf>
    <xf numFmtId="0" fontId="0" fillId="4" borderId="0" xfId="0" applyFill="1" applyAlignment="1">
      <alignment horizontal="left"/>
    </xf>
    <xf numFmtId="167" fontId="0" fillId="4" borderId="1" xfId="0" applyNumberFormat="1" applyFill="1" applyBorder="1" applyAlignment="1">
      <alignment horizontal="center"/>
    </xf>
    <xf numFmtId="4" fontId="0" fillId="4" borderId="1" xfId="0" applyNumberFormat="1" applyFill="1" applyBorder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4" fontId="0" fillId="4" borderId="0" xfId="0" applyNumberForma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1" fontId="0" fillId="4" borderId="1" xfId="0" applyNumberFormat="1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0" xfId="0" applyFill="1" applyBorder="1"/>
    <xf numFmtId="167" fontId="0" fillId="4" borderId="0" xfId="0" applyNumberFormat="1" applyFill="1" applyBorder="1" applyAlignment="1">
      <alignment horizontal="center" vertical="center"/>
    </xf>
    <xf numFmtId="2" fontId="0" fillId="4" borderId="0" xfId="0" applyNumberFormat="1" applyFill="1" applyBorder="1" applyAlignment="1">
      <alignment horizontal="left"/>
    </xf>
    <xf numFmtId="2" fontId="0" fillId="4" borderId="0" xfId="0" applyNumberFormat="1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2" fontId="0" fillId="4" borderId="0" xfId="0" applyNumberFormat="1" applyFill="1" applyAlignment="1">
      <alignment horizontal="left"/>
    </xf>
    <xf numFmtId="9" fontId="0" fillId="4" borderId="0" xfId="2" applyFont="1" applyFill="1" applyAlignment="1">
      <alignment horizontal="left"/>
    </xf>
    <xf numFmtId="0" fontId="0" fillId="2" borderId="1" xfId="0" applyFill="1" applyBorder="1" applyAlignment="1">
      <alignment horizontal="center"/>
    </xf>
    <xf numFmtId="2" fontId="0" fillId="0" borderId="6" xfId="0" applyNumberFormat="1" applyBorder="1" applyAlignment="1">
      <alignment horizontal="left"/>
    </xf>
    <xf numFmtId="0" fontId="0" fillId="0" borderId="2" xfId="0" applyBorder="1"/>
    <xf numFmtId="2" fontId="3" fillId="0" borderId="6" xfId="0" applyNumberFormat="1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left" indent="3"/>
    </xf>
    <xf numFmtId="2" fontId="0" fillId="0" borderId="6" xfId="0" applyNumberFormat="1" applyFont="1" applyBorder="1" applyAlignment="1">
      <alignment horizontal="left"/>
    </xf>
    <xf numFmtId="0" fontId="0" fillId="0" borderId="6" xfId="0" applyFont="1" applyBorder="1" applyAlignment="1">
      <alignment horizontal="left"/>
    </xf>
    <xf numFmtId="2" fontId="0" fillId="0" borderId="13" xfId="0" applyNumberFormat="1" applyFont="1" applyBorder="1" applyAlignment="1">
      <alignment horizontal="left"/>
    </xf>
    <xf numFmtId="0" fontId="0" fillId="0" borderId="14" xfId="0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Fill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" fontId="0" fillId="5" borderId="1" xfId="0" applyNumberFormat="1" applyFill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6" xfId="0" applyNumberFormat="1" applyBorder="1" applyAlignment="1">
      <alignment horizontal="left"/>
    </xf>
    <xf numFmtId="2" fontId="0" fillId="0" borderId="2" xfId="0" applyNumberForma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left" vertical="center"/>
    </xf>
    <xf numFmtId="2" fontId="0" fillId="4" borderId="8" xfId="0" applyNumberFormat="1" applyFill="1" applyBorder="1" applyAlignment="1">
      <alignment horizontal="left" vertical="center"/>
    </xf>
    <xf numFmtId="2" fontId="0" fillId="4" borderId="9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indent="3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2" fontId="0" fillId="4" borderId="7" xfId="0" applyNumberFormat="1" applyFont="1" applyFill="1" applyBorder="1" applyAlignment="1">
      <alignment horizontal="left"/>
    </xf>
    <xf numFmtId="2" fontId="0" fillId="4" borderId="9" xfId="0" applyNumberFormat="1" applyFont="1" applyFill="1" applyBorder="1" applyAlignment="1">
      <alignment horizontal="left"/>
    </xf>
    <xf numFmtId="0" fontId="0" fillId="4" borderId="1" xfId="0" applyFill="1" applyBorder="1" applyAlignment="1">
      <alignment horizontal="left" vertical="center" wrapText="1"/>
    </xf>
    <xf numFmtId="2" fontId="0" fillId="4" borderId="1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2" fontId="0" fillId="4" borderId="1" xfId="0" applyNumberFormat="1" applyFont="1" applyFill="1" applyBorder="1" applyAlignment="1">
      <alignment horizontal="left" vertical="center" wrapText="1"/>
    </xf>
    <xf numFmtId="2" fontId="0" fillId="4" borderId="1" xfId="0" applyNumberFormat="1" applyFont="1" applyFill="1" applyBorder="1" applyAlignment="1">
      <alignment horizontal="left"/>
    </xf>
    <xf numFmtId="2" fontId="3" fillId="4" borderId="1" xfId="0" applyNumberFormat="1" applyFont="1" applyFill="1" applyBorder="1" applyAlignment="1">
      <alignment horizontal="left"/>
    </xf>
    <xf numFmtId="2" fontId="4" fillId="4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66" fontId="0" fillId="2" borderId="7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166" fontId="0" fillId="2" borderId="9" xfId="0" applyNumberFormat="1" applyFill="1" applyBorder="1" applyAlignment="1">
      <alignment horizontal="center"/>
    </xf>
    <xf numFmtId="167" fontId="3" fillId="5" borderId="1" xfId="0" applyNumberFormat="1" applyFont="1" applyFill="1" applyBorder="1" applyAlignment="1">
      <alignment horizontal="center"/>
    </xf>
    <xf numFmtId="43" fontId="3" fillId="0" borderId="1" xfId="0" applyNumberFormat="1" applyFon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pte%20expl%20V38%20capitaux%202%20ans%20d&#233;marrage%20d&#233;but%202015%20bas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pte%20expl%20V38%20capitaux%202%20ans%20d&#233;marrage%20d&#233;but%202015%20base%20D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pte%20expl%20V38%20capitaux%202%20ans%20d&#233;marrage%20d&#233;but%202015%20base%20DR%20100%25%20C%20&#224;%200,6%20$%20k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pte%20expl%20V38%20capitaux%202%20ans%20d&#233;marrage%20d&#233;but%202015%20base%20DR%20M%20&#224;%201%20C%20&#224;%200,6%20$%20k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pte%20expl%20V38%20capitaux%202%20ans%20d&#233;marrage%20d&#233;but%202015%20base%20DR%20M%20&#224;%2038%25%20C%20&#224;%2020%2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Cpte%20expl%20V38%20capitaux%202%20ans%20d&#233;marrage%20d&#233;but%202015%20base%20DR%20100%25%20C%20&#224;%2020%2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Cpte%20expl%20V38%20capitaux%202%20ans%20d&#233;marrage%20d&#233;but%202015%20base%20DR%20100%25%20M%20&#224;%201%20$%20k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Cpte%20expl%20V38%20capitaux%202%20ans%20d&#233;marrage%20d&#233;but%202015%20base%20DR%20100%25%20M%20&#224;%2038%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  <sheetName val="Bilan"/>
      <sheetName val="Flux"/>
      <sheetName val="Exploitation"/>
      <sheetName val="Exploitation année pleine"/>
      <sheetName val="Para de décalage"/>
      <sheetName val="Emprunt 2015"/>
      <sheetName val="Emprunt 2016"/>
      <sheetName val="Emprunt 2017"/>
      <sheetName val="Emprunt 2018"/>
      <sheetName val="Emprunt 2019"/>
      <sheetName val="Emprunt 2020"/>
      <sheetName val="Données Investissement"/>
      <sheetName val="détails investissements"/>
      <sheetName val="détails investissements (2)"/>
      <sheetName val="Equipe projet"/>
      <sheetName val="plannig des personnes Equipe pr"/>
      <sheetName val="Subventions"/>
      <sheetName val="Détails subventions"/>
      <sheetName val="investisseurs"/>
      <sheetName val="Données gestion"/>
      <sheetName val="Données PAMCHR"/>
      <sheetName val="Données VAR"/>
      <sheetName val="Scénario"/>
      <sheetName val="Données Matières"/>
      <sheetName val="Données Economie Circulaire"/>
      <sheetName val="Données Flux et BFR"/>
      <sheetName val="Calcul Rentabilité 20 ans"/>
      <sheetName val="Données Rentabilité"/>
      <sheetName val="Project Data"/>
      <sheetName val="Feuil1"/>
      <sheetName val="Graph2"/>
      <sheetName val="Calcul Rentabilité ERAMET 20ans"/>
      <sheetName val="Graphe Cash Flow"/>
      <sheetName val="Opportunités et Risques"/>
      <sheetName val="Graphe Opportunités"/>
      <sheetName val="Rentabilité Location 10 ans"/>
      <sheetName val="Exemple Graphe Cash Flow"/>
      <sheetName val="Rentabilité bâtiment 20 ans"/>
      <sheetName val="Analyse Location"/>
    </sheetNames>
    <sheetDataSet>
      <sheetData sheetId="0"/>
      <sheetData sheetId="1"/>
      <sheetData sheetId="2"/>
      <sheetData sheetId="3">
        <row r="8">
          <cell r="G8">
            <v>4033.8877535871325</v>
          </cell>
        </row>
        <row r="19">
          <cell r="G19">
            <v>20340.654567104008</v>
          </cell>
        </row>
        <row r="25">
          <cell r="G25">
            <v>1405000.5833333335</v>
          </cell>
        </row>
        <row r="41">
          <cell r="G41">
            <v>4923550.7578772595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6">
          <cell r="N26">
            <v>2.1619999999999999</v>
          </cell>
        </row>
        <row r="27">
          <cell r="N27">
            <v>1.2503333333333333</v>
          </cell>
        </row>
        <row r="65">
          <cell r="I65">
            <v>50000</v>
          </cell>
        </row>
        <row r="78">
          <cell r="H78">
            <v>870900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15">
          <cell r="H15">
            <v>39363</v>
          </cell>
        </row>
        <row r="25">
          <cell r="H25">
            <v>66.37</v>
          </cell>
        </row>
        <row r="50">
          <cell r="I50">
            <v>675000</v>
          </cell>
        </row>
        <row r="58">
          <cell r="I58">
            <v>200000</v>
          </cell>
        </row>
        <row r="61">
          <cell r="I61">
            <v>714513.68350617331</v>
          </cell>
        </row>
        <row r="70">
          <cell r="E70">
            <v>200000</v>
          </cell>
        </row>
        <row r="86">
          <cell r="I86">
            <v>200000</v>
          </cell>
        </row>
        <row r="115">
          <cell r="H115">
            <v>71000</v>
          </cell>
        </row>
      </sheetData>
      <sheetData sheetId="21">
        <row r="148">
          <cell r="H148">
            <v>787.0949241900156</v>
          </cell>
        </row>
        <row r="152">
          <cell r="H152">
            <v>62.967593935201258</v>
          </cell>
        </row>
        <row r="153">
          <cell r="H153">
            <v>23.612847725700473</v>
          </cell>
        </row>
        <row r="176">
          <cell r="K176">
            <v>1516810.6284065791</v>
          </cell>
        </row>
        <row r="180">
          <cell r="K180">
            <v>5852604.9142423961</v>
          </cell>
        </row>
        <row r="181">
          <cell r="K181">
            <v>777473.65102814883</v>
          </cell>
        </row>
        <row r="210">
          <cell r="G210">
            <v>44</v>
          </cell>
        </row>
        <row r="232">
          <cell r="H232">
            <v>25868.668753677532</v>
          </cell>
        </row>
        <row r="233">
          <cell r="H233">
            <v>69.986999999999995</v>
          </cell>
        </row>
        <row r="243">
          <cell r="D243">
            <v>150000</v>
          </cell>
        </row>
        <row r="257">
          <cell r="H257">
            <v>1842466.2334208011</v>
          </cell>
        </row>
      </sheetData>
      <sheetData sheetId="22">
        <row r="75">
          <cell r="I75">
            <v>53280</v>
          </cell>
        </row>
        <row r="105">
          <cell r="H105">
            <v>3098.5411367241622</v>
          </cell>
        </row>
        <row r="106">
          <cell r="H106">
            <v>1032.8470455747208</v>
          </cell>
        </row>
        <row r="107">
          <cell r="H107">
            <v>55.8</v>
          </cell>
        </row>
        <row r="114">
          <cell r="H114">
            <v>150000</v>
          </cell>
        </row>
        <row r="120">
          <cell r="H120">
            <v>100000</v>
          </cell>
        </row>
      </sheetData>
      <sheetData sheetId="23">
        <row r="2">
          <cell r="F2">
            <v>77694.530746399992</v>
          </cell>
        </row>
        <row r="7">
          <cell r="F7">
            <v>883.18024999999989</v>
          </cell>
        </row>
        <row r="10">
          <cell r="F10">
            <v>1235.5442499999999</v>
          </cell>
        </row>
        <row r="16">
          <cell r="F16">
            <v>860.09740935114507</v>
          </cell>
        </row>
        <row r="17">
          <cell r="F17">
            <v>1290.1461140267174</v>
          </cell>
        </row>
        <row r="20">
          <cell r="F20">
            <v>883.18024999999989</v>
          </cell>
        </row>
        <row r="23">
          <cell r="F23">
            <v>741.32655</v>
          </cell>
        </row>
        <row r="25">
          <cell r="F25">
            <v>8095.7528752585877</v>
          </cell>
        </row>
        <row r="26">
          <cell r="F26">
            <v>6391.3838488883594</v>
          </cell>
        </row>
      </sheetData>
      <sheetData sheetId="24">
        <row r="52">
          <cell r="AC52">
            <v>10</v>
          </cell>
        </row>
      </sheetData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 refreshError="1"/>
      <sheetData sheetId="34"/>
      <sheetData sheetId="35" refreshError="1"/>
      <sheetData sheetId="36"/>
      <sheetData sheetId="37" refreshError="1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  <sheetName val="Bilan"/>
      <sheetName val="Flux"/>
      <sheetName val="Exploitation"/>
      <sheetName val="Exploitation année pleine"/>
      <sheetName val="Para de décalage"/>
      <sheetName val="Emprunt 2015"/>
      <sheetName val="Emprunt 2016"/>
      <sheetName val="Emprunt 2017"/>
      <sheetName val="Emprunt 2018"/>
      <sheetName val="Emprunt 2019"/>
      <sheetName val="Emprunt 2020"/>
      <sheetName val="Données Investissement"/>
      <sheetName val="détails investissements"/>
      <sheetName val="détails investissements (2)"/>
      <sheetName val="Equipe projet"/>
      <sheetName val="plannig des personnes Equipe pr"/>
      <sheetName val="Subventions"/>
      <sheetName val="Détails subventions"/>
      <sheetName val="investisseurs"/>
      <sheetName val="Données gestion"/>
      <sheetName val="Données PAMCHR"/>
      <sheetName val="Données VAR"/>
      <sheetName val="Scénario"/>
      <sheetName val="Données Matières"/>
      <sheetName val="Données Economie Circulaire"/>
      <sheetName val="Données Flux et BFR"/>
      <sheetName val="Calcul Rentabilité 20 ans"/>
      <sheetName val="Données Rentabilité"/>
      <sheetName val="Project Data"/>
      <sheetName val="Feuil1"/>
      <sheetName val="Graph2"/>
      <sheetName val="Calcul Rentabilité ERAMET 20ans"/>
      <sheetName val="Graphe Cash Flow"/>
      <sheetName val="Opportunités et Risques"/>
      <sheetName val="Graphe Opportunités"/>
      <sheetName val="Rentabilité Location 10 ans"/>
      <sheetName val="Exemple Graphe Cash Flow"/>
      <sheetName val="Rentabilité bâtiment 20 ans"/>
      <sheetName val="Analyse Location"/>
    </sheetNames>
    <sheetDataSet>
      <sheetData sheetId="0"/>
      <sheetData sheetId="1"/>
      <sheetData sheetId="2"/>
      <sheetData sheetId="3">
        <row r="8">
          <cell r="G8">
            <v>3926.2084278714792</v>
          </cell>
        </row>
        <row r="19">
          <cell r="G19">
            <v>22203.49131710401</v>
          </cell>
        </row>
        <row r="25">
          <cell r="G25">
            <v>1405000.5833333335</v>
          </cell>
        </row>
        <row r="41">
          <cell r="G41">
            <v>5636309.5023301756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6">
          <cell r="N26">
            <v>2.1619999999999999</v>
          </cell>
        </row>
        <row r="27">
          <cell r="N27">
            <v>1.2503333333333333</v>
          </cell>
        </row>
        <row r="65">
          <cell r="I65">
            <v>50000</v>
          </cell>
        </row>
        <row r="78">
          <cell r="H78">
            <v>1161200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15">
          <cell r="H15">
            <v>39363</v>
          </cell>
        </row>
        <row r="25">
          <cell r="H25">
            <v>66.37</v>
          </cell>
        </row>
        <row r="50">
          <cell r="I50">
            <v>675000</v>
          </cell>
        </row>
        <row r="58">
          <cell r="I58">
            <v>200000</v>
          </cell>
        </row>
        <row r="61">
          <cell r="I61">
            <v>714973.58700724645</v>
          </cell>
        </row>
        <row r="70">
          <cell r="E70">
            <v>200000</v>
          </cell>
        </row>
        <row r="86">
          <cell r="I86">
            <v>200000</v>
          </cell>
        </row>
        <row r="115">
          <cell r="H115">
            <v>88750</v>
          </cell>
        </row>
      </sheetData>
      <sheetData sheetId="21">
        <row r="148">
          <cell r="H148">
            <v>787.0949241900156</v>
          </cell>
        </row>
        <row r="152">
          <cell r="H152">
            <v>62.967593935201258</v>
          </cell>
        </row>
        <row r="153">
          <cell r="H153">
            <v>23.612847725700473</v>
          </cell>
        </row>
        <row r="180">
          <cell r="K180">
            <v>5852604.9142423961</v>
          </cell>
        </row>
        <row r="181">
          <cell r="K181">
            <v>777473.65102814883</v>
          </cell>
        </row>
        <row r="210">
          <cell r="G210">
            <v>49</v>
          </cell>
        </row>
        <row r="232">
          <cell r="H232">
            <v>25868.668753677532</v>
          </cell>
        </row>
        <row r="233">
          <cell r="H233">
            <v>69.986999999999995</v>
          </cell>
        </row>
        <row r="243">
          <cell r="D243">
            <v>150000</v>
          </cell>
        </row>
        <row r="257">
          <cell r="H257">
            <v>1842466.2334208011</v>
          </cell>
        </row>
      </sheetData>
      <sheetData sheetId="22">
        <row r="75">
          <cell r="I75">
            <v>49440</v>
          </cell>
        </row>
        <row r="105">
          <cell r="H105">
            <v>6163.7646268168819</v>
          </cell>
        </row>
        <row r="106">
          <cell r="H106">
            <v>2054.5882089389606</v>
          </cell>
        </row>
        <row r="107">
          <cell r="H107">
            <v>111.6</v>
          </cell>
        </row>
        <row r="114">
          <cell r="H114">
            <v>300000</v>
          </cell>
        </row>
        <row r="120">
          <cell r="H120">
            <v>125000</v>
          </cell>
        </row>
      </sheetData>
      <sheetData sheetId="23">
        <row r="2">
          <cell r="F2">
            <v>77694.530746399992</v>
          </cell>
        </row>
        <row r="7">
          <cell r="F7">
            <v>883.18024999999989</v>
          </cell>
        </row>
        <row r="10">
          <cell r="F10">
            <v>1235.5442499999999</v>
          </cell>
        </row>
        <row r="16">
          <cell r="F16">
            <v>860.09740935114507</v>
          </cell>
        </row>
        <row r="17">
          <cell r="F17">
            <v>1290.1461140267174</v>
          </cell>
        </row>
        <row r="20">
          <cell r="F20">
            <v>883.18024999999989</v>
          </cell>
        </row>
        <row r="23">
          <cell r="F23">
            <v>741.32655</v>
          </cell>
        </row>
        <row r="25">
          <cell r="F25">
            <v>8095.7528752585877</v>
          </cell>
        </row>
        <row r="26">
          <cell r="F26">
            <v>6391.3838488883594</v>
          </cell>
        </row>
      </sheetData>
      <sheetData sheetId="24">
        <row r="52">
          <cell r="AC52">
            <v>10</v>
          </cell>
        </row>
      </sheetData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 refreshError="1"/>
      <sheetData sheetId="34"/>
      <sheetData sheetId="35" refreshError="1"/>
      <sheetData sheetId="36"/>
      <sheetData sheetId="37" refreshError="1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  <sheetName val="Bilan"/>
      <sheetName val="Flux"/>
      <sheetName val="Exploitation"/>
      <sheetName val="Exploitation année pleine"/>
      <sheetName val="Para de décalage"/>
      <sheetName val="Emprunt 2015"/>
      <sheetName val="Emprunt 2016"/>
      <sheetName val="Emprunt 2017"/>
      <sheetName val="Emprunt 2018"/>
      <sheetName val="Emprunt 2019"/>
      <sheetName val="Emprunt 2020"/>
      <sheetName val="Données Investissement"/>
      <sheetName val="détails investissements"/>
      <sheetName val="détails investissements (2)"/>
      <sheetName val="Equipe projet"/>
      <sheetName val="plannig des personnes Equipe pr"/>
      <sheetName val="Subventions"/>
      <sheetName val="Détails subventions"/>
      <sheetName val="investisseurs"/>
      <sheetName val="Données gestion"/>
      <sheetName val="Données PAMCHR"/>
      <sheetName val="Données VAR"/>
      <sheetName val="Scénario"/>
      <sheetName val="Données Matières"/>
      <sheetName val="Données Economie Circulaire"/>
      <sheetName val="Données Flux et BFR"/>
      <sheetName val="Calcul Rentabilité 20 ans"/>
      <sheetName val="Données Rentabilité"/>
      <sheetName val="Project Data"/>
      <sheetName val="Feuil1"/>
      <sheetName val="Graph2"/>
      <sheetName val="Calcul Rentabilité ERAMET 20ans"/>
      <sheetName val="Graphe Cash Flow"/>
      <sheetName val="Opportunités et Risques"/>
      <sheetName val="Graphe Opportunités"/>
      <sheetName val="Rentabilité Location 10 ans"/>
      <sheetName val="Exemple Graphe Cash Flow"/>
      <sheetName val="Rentabilité bâtiment 20 ans"/>
      <sheetName val="Analyse Location"/>
    </sheetNames>
    <sheetDataSet>
      <sheetData sheetId="0"/>
      <sheetData sheetId="1"/>
      <sheetData sheetId="2"/>
      <sheetData sheetId="3">
        <row r="19">
          <cell r="G19">
            <v>13906.160150000002</v>
          </cell>
        </row>
        <row r="25">
          <cell r="G25">
            <v>1405000.5833333335</v>
          </cell>
        </row>
        <row r="41">
          <cell r="G41">
            <v>3904068.5104934229</v>
          </cell>
        </row>
      </sheetData>
      <sheetData sheetId="4">
        <row r="8">
          <cell r="G8">
            <v>3926.2084278714792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26">
          <cell r="N26">
            <v>2.1619999999999999</v>
          </cell>
        </row>
        <row r="27">
          <cell r="N27">
            <v>1.2503333333333333</v>
          </cell>
        </row>
        <row r="65">
          <cell r="I65">
            <v>50000</v>
          </cell>
        </row>
        <row r="78">
          <cell r="H78">
            <v>1161200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15">
          <cell r="H15">
            <v>39363</v>
          </cell>
        </row>
        <row r="25">
          <cell r="H25">
            <v>66.37</v>
          </cell>
        </row>
        <row r="50">
          <cell r="I50">
            <v>675000</v>
          </cell>
        </row>
        <row r="58">
          <cell r="I58">
            <v>200000</v>
          </cell>
        </row>
        <row r="61">
          <cell r="I61">
            <v>714973.58700724645</v>
          </cell>
        </row>
        <row r="70">
          <cell r="E70">
            <v>200000</v>
          </cell>
        </row>
        <row r="86">
          <cell r="I86">
            <v>200000</v>
          </cell>
        </row>
        <row r="115">
          <cell r="H115">
            <v>88750</v>
          </cell>
        </row>
      </sheetData>
      <sheetData sheetId="21">
        <row r="148">
          <cell r="H148">
            <v>787.0949241900156</v>
          </cell>
        </row>
        <row r="152">
          <cell r="H152">
            <v>62.967593935201258</v>
          </cell>
        </row>
        <row r="153">
          <cell r="H153">
            <v>23.612847725700473</v>
          </cell>
        </row>
        <row r="176">
          <cell r="K176">
            <v>1516810.6284065791</v>
          </cell>
        </row>
        <row r="180">
          <cell r="K180">
            <v>7512926.6036223033</v>
          </cell>
        </row>
        <row r="181">
          <cell r="K181">
            <v>1038965.2999308193</v>
          </cell>
        </row>
        <row r="210">
          <cell r="G210">
            <v>49</v>
          </cell>
        </row>
        <row r="232">
          <cell r="H232">
            <v>25868.668753677532</v>
          </cell>
        </row>
        <row r="233">
          <cell r="H233">
            <v>69.986999999999995</v>
          </cell>
        </row>
        <row r="243">
          <cell r="D243">
            <v>150000</v>
          </cell>
        </row>
        <row r="257">
          <cell r="H257">
            <v>183000</v>
          </cell>
        </row>
      </sheetData>
      <sheetData sheetId="22">
        <row r="75">
          <cell r="I75">
            <v>49440</v>
          </cell>
        </row>
        <row r="105">
          <cell r="H105">
            <v>6163.7646268168819</v>
          </cell>
        </row>
        <row r="106">
          <cell r="H106">
            <v>2054.5882089389606</v>
          </cell>
        </row>
        <row r="107">
          <cell r="H107">
            <v>111.6</v>
          </cell>
        </row>
        <row r="114">
          <cell r="H114">
            <v>300000</v>
          </cell>
        </row>
        <row r="120">
          <cell r="H120">
            <v>125000</v>
          </cell>
        </row>
      </sheetData>
      <sheetData sheetId="23">
        <row r="2">
          <cell r="F2">
            <v>77694.530746399992</v>
          </cell>
        </row>
        <row r="10">
          <cell r="F10">
            <v>2295.3605499999999</v>
          </cell>
        </row>
        <row r="17">
          <cell r="F17">
            <v>2322.2630052480918</v>
          </cell>
        </row>
        <row r="20">
          <cell r="F20">
            <v>0</v>
          </cell>
        </row>
        <row r="23">
          <cell r="F23">
            <v>1377.21633</v>
          </cell>
        </row>
        <row r="25">
          <cell r="F25">
            <v>0</v>
          </cell>
        </row>
        <row r="26">
          <cell r="F26">
            <v>1393.3578031488551</v>
          </cell>
        </row>
      </sheetData>
      <sheetData sheetId="24">
        <row r="52">
          <cell r="AC52">
            <v>10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  <sheetName val="Bilan"/>
      <sheetName val="Flux"/>
      <sheetName val="Exploitation"/>
      <sheetName val="Exploitation année pleine"/>
      <sheetName val="Para de décalage"/>
      <sheetName val="Emprunt 2015"/>
      <sheetName val="Emprunt 2016"/>
      <sheetName val="Emprunt 2017"/>
      <sheetName val="Emprunt 2018"/>
      <sheetName val="Emprunt 2019"/>
      <sheetName val="Emprunt 2020"/>
      <sheetName val="Données Investissement"/>
      <sheetName val="détails investissements"/>
      <sheetName val="détails investissements (2)"/>
      <sheetName val="Equipe projet"/>
      <sheetName val="plannig des personnes Equipe pr"/>
      <sheetName val="Subventions"/>
      <sheetName val="Détails subventions"/>
      <sheetName val="investisseurs"/>
      <sheetName val="Données gestion"/>
      <sheetName val="Données PAMCHR"/>
      <sheetName val="Données VAR"/>
      <sheetName val="Scénario"/>
      <sheetName val="Données Matières"/>
      <sheetName val="Données Economie Circulaire"/>
      <sheetName val="Données Flux et BFR"/>
      <sheetName val="Calcul Rentabilité 20 ans"/>
      <sheetName val="Données Rentabilité"/>
      <sheetName val="Project Data"/>
      <sheetName val="Feuil1"/>
      <sheetName val="Graph2"/>
      <sheetName val="Calcul Rentabilité ERAMET 20ans"/>
      <sheetName val="Graphe Cash Flow"/>
      <sheetName val="Opportunités et Risques"/>
      <sheetName val="Graphe Opportunités"/>
      <sheetName val="Rentabilité Location 10 ans"/>
      <sheetName val="Exemple Graphe Cash Flow"/>
      <sheetName val="Rentabilité bâtiment 20 ans"/>
      <sheetName val="Analyse Location"/>
    </sheetNames>
    <sheetDataSet>
      <sheetData sheetId="0"/>
      <sheetData sheetId="1"/>
      <sheetData sheetId="2"/>
      <sheetData sheetId="3">
        <row r="8">
          <cell r="G8">
            <v>3926.2084278714792</v>
          </cell>
        </row>
        <row r="19">
          <cell r="G19">
            <v>22203.49131710401</v>
          </cell>
        </row>
        <row r="25">
          <cell r="G25">
            <v>1405000.5833333335</v>
          </cell>
        </row>
        <row r="41">
          <cell r="G41">
            <v>3734985.294285831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6">
          <cell r="N26">
            <v>2.1619999999999999</v>
          </cell>
        </row>
        <row r="27">
          <cell r="N27">
            <v>1.2503333333333333</v>
          </cell>
        </row>
        <row r="65">
          <cell r="I65">
            <v>50000</v>
          </cell>
        </row>
        <row r="78">
          <cell r="H78">
            <v>1161200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15">
          <cell r="H15">
            <v>39363</v>
          </cell>
        </row>
        <row r="25">
          <cell r="H25">
            <v>66.37</v>
          </cell>
        </row>
        <row r="50">
          <cell r="I50">
            <v>675000</v>
          </cell>
        </row>
        <row r="58">
          <cell r="I58">
            <v>200000</v>
          </cell>
        </row>
        <row r="61">
          <cell r="I61">
            <v>714973.58700724645</v>
          </cell>
        </row>
        <row r="70">
          <cell r="E70">
            <v>200000</v>
          </cell>
        </row>
        <row r="86">
          <cell r="I86">
            <v>200000</v>
          </cell>
        </row>
        <row r="115">
          <cell r="H115">
            <v>88750</v>
          </cell>
        </row>
      </sheetData>
      <sheetData sheetId="21">
        <row r="148">
          <cell r="H148">
            <v>787.0949241900156</v>
          </cell>
        </row>
        <row r="152">
          <cell r="H152">
            <v>62.967593935201258</v>
          </cell>
        </row>
        <row r="153">
          <cell r="H153">
            <v>23.612847725700473</v>
          </cell>
        </row>
        <row r="176">
          <cell r="K176">
            <v>1516810.6284065791</v>
          </cell>
        </row>
        <row r="180">
          <cell r="K180">
            <v>5852604.9142423961</v>
          </cell>
        </row>
        <row r="181">
          <cell r="K181">
            <v>777473.65102815069</v>
          </cell>
        </row>
        <row r="210">
          <cell r="G210">
            <v>49</v>
          </cell>
        </row>
        <row r="232">
          <cell r="H232">
            <v>25868.668753677532</v>
          </cell>
        </row>
        <row r="233">
          <cell r="H233">
            <v>69.986999999999995</v>
          </cell>
        </row>
        <row r="243">
          <cell r="D243">
            <v>150000</v>
          </cell>
        </row>
        <row r="257">
          <cell r="H257">
            <v>1842466.2334208011</v>
          </cell>
        </row>
      </sheetData>
      <sheetData sheetId="22">
        <row r="75">
          <cell r="I75">
            <v>49440</v>
          </cell>
        </row>
        <row r="105">
          <cell r="H105">
            <v>6163.7646268168819</v>
          </cell>
        </row>
        <row r="106">
          <cell r="H106">
            <v>2054.5882089389606</v>
          </cell>
        </row>
        <row r="107">
          <cell r="H107">
            <v>111.6</v>
          </cell>
        </row>
        <row r="114">
          <cell r="H114">
            <v>300000</v>
          </cell>
        </row>
        <row r="120">
          <cell r="H120">
            <v>125000</v>
          </cell>
        </row>
      </sheetData>
      <sheetData sheetId="23">
        <row r="2">
          <cell r="F2">
            <v>77694.530746399992</v>
          </cell>
        </row>
        <row r="7">
          <cell r="F7">
            <v>883.18024999999989</v>
          </cell>
        </row>
        <row r="10">
          <cell r="F10">
            <v>1235.5442499999999</v>
          </cell>
        </row>
        <row r="16">
          <cell r="F16">
            <v>860.09740935114507</v>
          </cell>
        </row>
        <row r="17">
          <cell r="F17">
            <v>1290.1461140267174</v>
          </cell>
        </row>
        <row r="20">
          <cell r="F20">
            <v>883.18024999999989</v>
          </cell>
        </row>
        <row r="23">
          <cell r="F23">
            <v>741.32654999999988</v>
          </cell>
        </row>
        <row r="25">
          <cell r="F25">
            <v>860.09740935114507</v>
          </cell>
        </row>
        <row r="26">
          <cell r="F26">
            <v>774.0876684160304</v>
          </cell>
        </row>
      </sheetData>
      <sheetData sheetId="24">
        <row r="52">
          <cell r="AC52">
            <v>10</v>
          </cell>
        </row>
      </sheetData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 refreshError="1"/>
      <sheetData sheetId="34"/>
      <sheetData sheetId="35" refreshError="1"/>
      <sheetData sheetId="36"/>
      <sheetData sheetId="37" refreshError="1"/>
      <sheetData sheetId="38"/>
      <sheetData sheetId="3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  <sheetName val="Bilan"/>
      <sheetName val="Flux"/>
      <sheetName val="Exploitation"/>
      <sheetName val="Exploitation année pleine"/>
      <sheetName val="Para de décalage"/>
      <sheetName val="Emprunt 2015"/>
      <sheetName val="Emprunt 2016"/>
      <sheetName val="Emprunt 2017"/>
      <sheetName val="Emprunt 2018"/>
      <sheetName val="Emprunt 2019"/>
      <sheetName val="Emprunt 2020"/>
      <sheetName val="Données Investissement"/>
      <sheetName val="détails investissements"/>
      <sheetName val="détails investissements (2)"/>
      <sheetName val="Equipe projet"/>
      <sheetName val="plannig des personnes Equipe pr"/>
      <sheetName val="Subventions"/>
      <sheetName val="Détails subventions"/>
      <sheetName val="investisseurs"/>
      <sheetName val="Données gestion"/>
      <sheetName val="Données PAMCHR"/>
      <sheetName val="Données VAR"/>
      <sheetName val="Scénario"/>
      <sheetName val="Données Matières"/>
      <sheetName val="Données Economie Circulaire"/>
      <sheetName val="Données Flux et BFR"/>
      <sheetName val="Calcul Rentabilité 20 ans"/>
      <sheetName val="Données Rentabilité"/>
      <sheetName val="Project Data"/>
      <sheetName val="Feuil1"/>
      <sheetName val="Graph2"/>
      <sheetName val="Calcul Rentabilité ERAMET 20ans"/>
      <sheetName val="Graphe Cash Flow"/>
      <sheetName val="Opportunités et Risques"/>
      <sheetName val="Graphe Opportunités"/>
      <sheetName val="Rentabilité Location 10 ans"/>
      <sheetName val="Exemple Graphe Cash Flow"/>
      <sheetName val="Rentabilité bâtiment 20 ans"/>
      <sheetName val="Analyse Location"/>
    </sheetNames>
    <sheetDataSet>
      <sheetData sheetId="0"/>
      <sheetData sheetId="1"/>
      <sheetData sheetId="2"/>
      <sheetData sheetId="3">
        <row r="8">
          <cell r="G8">
            <v>3926.2084278714792</v>
          </cell>
        </row>
        <row r="19">
          <cell r="G19">
            <v>22203.49131710401</v>
          </cell>
        </row>
        <row r="25">
          <cell r="G25">
            <v>1405000.5833333335</v>
          </cell>
        </row>
        <row r="41">
          <cell r="G41">
            <v>7531191.4306807667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6">
          <cell r="N26">
            <v>2.1619999999999999</v>
          </cell>
        </row>
        <row r="27">
          <cell r="N27">
            <v>1.2503333333333333</v>
          </cell>
        </row>
        <row r="65">
          <cell r="I65">
            <v>50000</v>
          </cell>
        </row>
        <row r="78">
          <cell r="H78">
            <v>1161200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15">
          <cell r="H15">
            <v>39363</v>
          </cell>
        </row>
        <row r="25">
          <cell r="H25">
            <v>66.37</v>
          </cell>
        </row>
        <row r="50">
          <cell r="I50">
            <v>675000</v>
          </cell>
        </row>
        <row r="58">
          <cell r="I58">
            <v>200000</v>
          </cell>
        </row>
        <row r="61">
          <cell r="I61">
            <v>714973.58700724645</v>
          </cell>
        </row>
        <row r="70">
          <cell r="E70">
            <v>200000</v>
          </cell>
        </row>
        <row r="86">
          <cell r="I86">
            <v>200000</v>
          </cell>
        </row>
        <row r="115">
          <cell r="H115">
            <v>88750</v>
          </cell>
        </row>
      </sheetData>
      <sheetData sheetId="21">
        <row r="148">
          <cell r="H148">
            <v>787.0949241900156</v>
          </cell>
        </row>
        <row r="152">
          <cell r="H152">
            <v>62.967593935201258</v>
          </cell>
        </row>
        <row r="153">
          <cell r="H153">
            <v>23.612847725700473</v>
          </cell>
        </row>
        <row r="176">
          <cell r="K176">
            <v>1516810.6284065791</v>
          </cell>
        </row>
        <row r="180">
          <cell r="K180">
            <v>5852604.9142423961</v>
          </cell>
        </row>
        <row r="181">
          <cell r="K181">
            <v>777473.65102814976</v>
          </cell>
        </row>
        <row r="210">
          <cell r="G210">
            <v>49</v>
          </cell>
        </row>
        <row r="232">
          <cell r="H232">
            <v>25868.668753677532</v>
          </cell>
        </row>
        <row r="233">
          <cell r="H233">
            <v>69.986999999999995</v>
          </cell>
        </row>
        <row r="243">
          <cell r="D243">
            <v>150000</v>
          </cell>
        </row>
        <row r="257">
          <cell r="H257">
            <v>1842466.2334208011</v>
          </cell>
        </row>
      </sheetData>
      <sheetData sheetId="22">
        <row r="75">
          <cell r="I75">
            <v>49440</v>
          </cell>
        </row>
        <row r="105">
          <cell r="H105">
            <v>6163.7646268168819</v>
          </cell>
        </row>
        <row r="106">
          <cell r="H106">
            <v>2054.5882089389606</v>
          </cell>
        </row>
        <row r="107">
          <cell r="H107">
            <v>111.6</v>
          </cell>
        </row>
        <row r="114">
          <cell r="H114">
            <v>300000</v>
          </cell>
        </row>
        <row r="120">
          <cell r="H120">
            <v>125000</v>
          </cell>
        </row>
      </sheetData>
      <sheetData sheetId="23">
        <row r="2">
          <cell r="F2">
            <v>77694.530746399992</v>
          </cell>
        </row>
        <row r="7">
          <cell r="F7">
            <v>883.18024999999989</v>
          </cell>
        </row>
        <row r="10">
          <cell r="F10">
            <v>1235.5442499999999</v>
          </cell>
        </row>
        <row r="16">
          <cell r="F16">
            <v>860.09740935114507</v>
          </cell>
        </row>
        <row r="17">
          <cell r="F17">
            <v>1290.1461140267174</v>
          </cell>
        </row>
        <row r="20">
          <cell r="F20">
            <v>8313.022421149999</v>
          </cell>
        </row>
        <row r="23">
          <cell r="F23">
            <v>6120.8862145000003</v>
          </cell>
        </row>
        <row r="25">
          <cell r="F25">
            <v>8095.7528752585877</v>
          </cell>
        </row>
        <row r="26">
          <cell r="F26">
            <v>6391.3838488883594</v>
          </cell>
        </row>
      </sheetData>
      <sheetData sheetId="24">
        <row r="52">
          <cell r="AC52">
            <v>10</v>
          </cell>
        </row>
      </sheetData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 refreshError="1"/>
      <sheetData sheetId="34"/>
      <sheetData sheetId="35" refreshError="1"/>
      <sheetData sheetId="36"/>
      <sheetData sheetId="37" refreshError="1"/>
      <sheetData sheetId="38"/>
      <sheetData sheetId="3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  <sheetName val="Bilan"/>
      <sheetName val="Flux"/>
      <sheetName val="Exploitation"/>
      <sheetName val="Exploitation année pleine"/>
      <sheetName val="Para de décalage"/>
      <sheetName val="Emprunt 2015"/>
      <sheetName val="Emprunt 2016"/>
      <sheetName val="Emprunt 2017"/>
      <sheetName val="Emprunt 2018"/>
      <sheetName val="Emprunt 2019"/>
      <sheetName val="Emprunt 2020"/>
      <sheetName val="Données Investissement"/>
      <sheetName val="détails investissements"/>
      <sheetName val="détails investissements (2)"/>
      <sheetName val="Equipe projet"/>
      <sheetName val="plannig des personnes Equipe pr"/>
      <sheetName val="Subventions"/>
      <sheetName val="Détails subventions"/>
      <sheetName val="investisseurs"/>
      <sheetName val="Données gestion"/>
      <sheetName val="Données PAMCHR"/>
      <sheetName val="Données VAR"/>
      <sheetName val="Scénario"/>
      <sheetName val="Données Matières"/>
      <sheetName val="Données Economie Circulaire"/>
      <sheetName val="Données Flux et BFR"/>
      <sheetName val="Calcul Rentabilité 20 ans"/>
      <sheetName val="Données Rentabilité"/>
      <sheetName val="Project Data"/>
      <sheetName val="Feuil1"/>
      <sheetName val="Graph2"/>
      <sheetName val="Calcul Rentabilité ERAMET 20ans"/>
      <sheetName val="Graphe Cash Flow"/>
      <sheetName val="Opportunités et Risques"/>
      <sheetName val="Graphe Opportunités"/>
      <sheetName val="Rentabilité Location 10 ans"/>
      <sheetName val="Exemple Graphe Cash Flow"/>
      <sheetName val="Rentabilité bâtiment 20 ans"/>
      <sheetName val="Analyse Location"/>
    </sheetNames>
    <sheetDataSet>
      <sheetData sheetId="0"/>
      <sheetData sheetId="1"/>
      <sheetData sheetId="2"/>
      <sheetData sheetId="3">
        <row r="8">
          <cell r="G8">
            <v>3926.2084278714792</v>
          </cell>
        </row>
        <row r="19">
          <cell r="G19">
            <v>13906.160150000002</v>
          </cell>
        </row>
        <row r="25">
          <cell r="G25">
            <v>1405000.5833333335</v>
          </cell>
        </row>
        <row r="41">
          <cell r="G41">
            <v>6878200.6051014392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6">
          <cell r="N26">
            <v>2.1619999999999999</v>
          </cell>
        </row>
        <row r="27">
          <cell r="N27">
            <v>1.2503333333333333</v>
          </cell>
        </row>
        <row r="65">
          <cell r="I65">
            <v>50000</v>
          </cell>
        </row>
        <row r="78">
          <cell r="H78">
            <v>1161200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15">
          <cell r="H15">
            <v>39363</v>
          </cell>
        </row>
        <row r="25">
          <cell r="H25">
            <v>66.37</v>
          </cell>
        </row>
        <row r="50">
          <cell r="I50">
            <v>675000</v>
          </cell>
        </row>
        <row r="58">
          <cell r="I58">
            <v>200000</v>
          </cell>
        </row>
        <row r="61">
          <cell r="I61">
            <v>714973.58700724645</v>
          </cell>
        </row>
        <row r="70">
          <cell r="E70">
            <v>200000</v>
          </cell>
        </row>
        <row r="86">
          <cell r="I86">
            <v>200000</v>
          </cell>
        </row>
        <row r="115">
          <cell r="H115">
            <v>88750</v>
          </cell>
        </row>
      </sheetData>
      <sheetData sheetId="21">
        <row r="148">
          <cell r="H148">
            <v>787.0949241900156</v>
          </cell>
        </row>
        <row r="152">
          <cell r="H152">
            <v>62.967593935201258</v>
          </cell>
        </row>
        <row r="153">
          <cell r="H153">
            <v>23.612847725700473</v>
          </cell>
        </row>
        <row r="176">
          <cell r="K176">
            <v>1516810.6284065791</v>
          </cell>
        </row>
        <row r="180">
          <cell r="K180">
            <v>7512926.6036223033</v>
          </cell>
        </row>
        <row r="181">
          <cell r="K181">
            <v>1038965.2999308212</v>
          </cell>
        </row>
        <row r="210">
          <cell r="G210">
            <v>49</v>
          </cell>
        </row>
        <row r="232">
          <cell r="H232">
            <v>25868.668753677532</v>
          </cell>
        </row>
        <row r="233">
          <cell r="H233">
            <v>69.986999999999995</v>
          </cell>
        </row>
        <row r="243">
          <cell r="D243">
            <v>150000</v>
          </cell>
        </row>
        <row r="257">
          <cell r="H257">
            <v>183000</v>
          </cell>
        </row>
      </sheetData>
      <sheetData sheetId="22">
        <row r="75">
          <cell r="I75">
            <v>49440</v>
          </cell>
        </row>
        <row r="105">
          <cell r="H105">
            <v>6163.7646268168819</v>
          </cell>
        </row>
        <row r="106">
          <cell r="H106">
            <v>2054.5882089389606</v>
          </cell>
        </row>
        <row r="107">
          <cell r="H107">
            <v>111.6</v>
          </cell>
        </row>
        <row r="114">
          <cell r="H114">
            <v>300000</v>
          </cell>
        </row>
        <row r="120">
          <cell r="H120">
            <v>125000</v>
          </cell>
        </row>
      </sheetData>
      <sheetData sheetId="23">
        <row r="2">
          <cell r="F2">
            <v>77694.530746399992</v>
          </cell>
        </row>
        <row r="10">
          <cell r="F10">
            <v>2295.3605499999999</v>
          </cell>
        </row>
        <row r="17">
          <cell r="F17">
            <v>2322.2630052480918</v>
          </cell>
        </row>
        <row r="20">
          <cell r="F20">
            <v>0</v>
          </cell>
        </row>
        <row r="23">
          <cell r="F23">
            <v>11371.216164700001</v>
          </cell>
        </row>
        <row r="25">
          <cell r="F25">
            <v>0</v>
          </cell>
        </row>
        <row r="26">
          <cell r="F26">
            <v>11504.490927999048</v>
          </cell>
        </row>
      </sheetData>
      <sheetData sheetId="24">
        <row r="52">
          <cell r="AC52">
            <v>10</v>
          </cell>
        </row>
      </sheetData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 refreshError="1"/>
      <sheetData sheetId="34"/>
      <sheetData sheetId="35" refreshError="1"/>
      <sheetData sheetId="36"/>
      <sheetData sheetId="37" refreshError="1"/>
      <sheetData sheetId="38"/>
      <sheetData sheetId="3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  <sheetName val="Bilan"/>
      <sheetName val="Flux"/>
      <sheetName val="Exploitation"/>
      <sheetName val="Exploitation année pleine"/>
      <sheetName val="Para de décalage"/>
      <sheetName val="Emprunt 2015"/>
      <sheetName val="Emprunt 2016"/>
      <sheetName val="Emprunt 2017"/>
      <sheetName val="Emprunt 2018"/>
      <sheetName val="Emprunt 2019"/>
      <sheetName val="Emprunt 2020"/>
      <sheetName val="Données Investissement"/>
      <sheetName val="détails investissements"/>
      <sheetName val="détails investissements (2)"/>
      <sheetName val="Equipe projet"/>
      <sheetName val="plannig des personnes Equipe pr"/>
      <sheetName val="Subventions"/>
      <sheetName val="Détails subventions"/>
      <sheetName val="investisseurs"/>
      <sheetName val="Données gestion"/>
      <sheetName val="Données PAMCHR"/>
      <sheetName val="Données VAR"/>
      <sheetName val="Scénario"/>
      <sheetName val="Données Matières"/>
      <sheetName val="Données Economie Circulaire"/>
      <sheetName val="Données Flux et BFR"/>
      <sheetName val="Calcul Rentabilité 20 ans"/>
      <sheetName val="Données Rentabilité"/>
      <sheetName val="Project Data"/>
      <sheetName val="Feuil1"/>
      <sheetName val="Graph2"/>
      <sheetName val="Calcul Rentabilité ERAMET 20ans"/>
      <sheetName val="Graphe Cash Flow"/>
      <sheetName val="Opportunités et Risques"/>
      <sheetName val="Graphe Opportunités"/>
      <sheetName val="Rentabilité Location 10 ans"/>
      <sheetName val="Exemple Graphe Cash Flow"/>
      <sheetName val="Rentabilité bâtiment 20 ans"/>
      <sheetName val="Analyse Location"/>
    </sheetNames>
    <sheetDataSet>
      <sheetData sheetId="0"/>
      <sheetData sheetId="1"/>
      <sheetData sheetId="2"/>
      <sheetData sheetId="3">
        <row r="19">
          <cell r="G19">
            <v>32221.253578267671</v>
          </cell>
        </row>
        <row r="25">
          <cell r="G25">
            <v>1405000.5833333335</v>
          </cell>
        </row>
        <row r="41">
          <cell r="G41">
            <v>3530843.0914247409</v>
          </cell>
        </row>
      </sheetData>
      <sheetData sheetId="4">
        <row r="8">
          <cell r="G8">
            <v>3926.2084278714792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26">
          <cell r="N26">
            <v>2.1619999999999999</v>
          </cell>
        </row>
        <row r="27">
          <cell r="N27">
            <v>1.2503333333333333</v>
          </cell>
        </row>
        <row r="65">
          <cell r="I65">
            <v>50000</v>
          </cell>
        </row>
        <row r="78">
          <cell r="H78">
            <v>1161200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15">
          <cell r="H15">
            <v>39363</v>
          </cell>
        </row>
        <row r="25">
          <cell r="H25">
            <v>66.37</v>
          </cell>
        </row>
        <row r="50">
          <cell r="I50">
            <v>675000</v>
          </cell>
        </row>
        <row r="58">
          <cell r="I58">
            <v>200000</v>
          </cell>
        </row>
        <row r="61">
          <cell r="I61">
            <v>714973.58700724645</v>
          </cell>
        </row>
        <row r="70">
          <cell r="E70">
            <v>200000</v>
          </cell>
        </row>
        <row r="86">
          <cell r="I86">
            <v>200000</v>
          </cell>
        </row>
        <row r="115">
          <cell r="H115">
            <v>88750</v>
          </cell>
        </row>
      </sheetData>
      <sheetData sheetId="21">
        <row r="148">
          <cell r="H148">
            <v>787.0949241900156</v>
          </cell>
        </row>
        <row r="152">
          <cell r="H152">
            <v>62.967593935201258</v>
          </cell>
        </row>
        <row r="153">
          <cell r="H153">
            <v>23.612847725700473</v>
          </cell>
        </row>
        <row r="176">
          <cell r="K176">
            <v>1516810.6284065791</v>
          </cell>
        </row>
        <row r="180">
          <cell r="K180">
            <v>3848019.6293734093</v>
          </cell>
        </row>
        <row r="181">
          <cell r="K181">
            <v>461762.35552480957</v>
          </cell>
        </row>
        <row r="210">
          <cell r="G210">
            <v>49</v>
          </cell>
        </row>
        <row r="232">
          <cell r="H232">
            <v>25868.668753677532</v>
          </cell>
        </row>
        <row r="233">
          <cell r="H233">
            <v>69.986999999999995</v>
          </cell>
        </row>
        <row r="243">
          <cell r="D243">
            <v>150000</v>
          </cell>
        </row>
        <row r="257">
          <cell r="H257">
            <v>3846018.6856535333</v>
          </cell>
        </row>
      </sheetData>
      <sheetData sheetId="22">
        <row r="75">
          <cell r="I75">
            <v>49440</v>
          </cell>
        </row>
        <row r="105">
          <cell r="H105">
            <v>6163.7646268168819</v>
          </cell>
        </row>
        <row r="106">
          <cell r="H106">
            <v>2054.5882089389606</v>
          </cell>
        </row>
        <row r="107">
          <cell r="H107">
            <v>111.6</v>
          </cell>
        </row>
        <row r="114">
          <cell r="H114">
            <v>300000</v>
          </cell>
        </row>
        <row r="120">
          <cell r="H120">
            <v>125000</v>
          </cell>
        </row>
      </sheetData>
      <sheetData sheetId="23">
        <row r="2">
          <cell r="F2">
            <v>77694.530746399992</v>
          </cell>
        </row>
        <row r="7">
          <cell r="F7">
            <v>1912.8004583333332</v>
          </cell>
        </row>
        <row r="10">
          <cell r="F10">
            <v>0</v>
          </cell>
        </row>
        <row r="16">
          <cell r="F16">
            <v>1935.2191710400762</v>
          </cell>
        </row>
        <row r="20">
          <cell r="F20">
            <v>1912.8004583333332</v>
          </cell>
        </row>
        <row r="23">
          <cell r="F23">
            <v>0</v>
          </cell>
        </row>
        <row r="25">
          <cell r="F25">
            <v>1935.2191710400762</v>
          </cell>
        </row>
        <row r="26">
          <cell r="F26">
            <v>0</v>
          </cell>
        </row>
        <row r="27">
          <cell r="F27">
            <v>1935.2191710400762</v>
          </cell>
        </row>
      </sheetData>
      <sheetData sheetId="24">
        <row r="52">
          <cell r="AC52">
            <v>10</v>
          </cell>
        </row>
      </sheetData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 refreshError="1"/>
      <sheetData sheetId="34"/>
      <sheetData sheetId="35" refreshError="1"/>
      <sheetData sheetId="36"/>
      <sheetData sheetId="37" refreshError="1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"/>
      <sheetName val="Bilan"/>
      <sheetName val="Flux"/>
      <sheetName val="Exploitation"/>
      <sheetName val="Exploitation année pleine"/>
      <sheetName val="Para de décalage"/>
      <sheetName val="Emprunt 2015"/>
      <sheetName val="Emprunt 2016"/>
      <sheetName val="Emprunt 2017"/>
      <sheetName val="Emprunt 2018"/>
      <sheetName val="Emprunt 2019"/>
      <sheetName val="Emprunt 2020"/>
      <sheetName val="Données Investissement"/>
      <sheetName val="détails investissements"/>
      <sheetName val="détails investissements (2)"/>
      <sheetName val="Equipe projet"/>
      <sheetName val="plannig des personnes Equipe pr"/>
      <sheetName val="Subventions"/>
      <sheetName val="Détails subventions"/>
      <sheetName val="investisseurs"/>
      <sheetName val="Données gestion"/>
      <sheetName val="Données PAMCHR"/>
      <sheetName val="Données VAR"/>
      <sheetName val="Scénario"/>
      <sheetName val="Données Matières"/>
      <sheetName val="Données Economie Circulaire"/>
      <sheetName val="Données Flux et BFR"/>
      <sheetName val="Calcul Rentabilité 20 ans"/>
      <sheetName val="Données Rentabilité"/>
      <sheetName val="Project Data"/>
      <sheetName val="Feuil1"/>
      <sheetName val="Graph2"/>
      <sheetName val="Calcul Rentabilité ERAMET 20ans"/>
      <sheetName val="Graphe Cash Flow"/>
      <sheetName val="Opportunités et Risques"/>
      <sheetName val="Graphe Opportunités"/>
      <sheetName val="Rentabilité Location 10 ans"/>
      <sheetName val="Exemple Graphe Cash Flow"/>
      <sheetName val="Rentabilité bâtiment 20 ans"/>
      <sheetName val="Analyse Location"/>
    </sheetNames>
    <sheetDataSet>
      <sheetData sheetId="0"/>
      <sheetData sheetId="1"/>
      <sheetData sheetId="2"/>
      <sheetData sheetId="3">
        <row r="19">
          <cell r="G19">
            <v>32221.253578267671</v>
          </cell>
        </row>
        <row r="25">
          <cell r="G25">
            <v>1405000.5833333335</v>
          </cell>
        </row>
        <row r="41">
          <cell r="G41">
            <v>8319578.2887718929</v>
          </cell>
        </row>
      </sheetData>
      <sheetData sheetId="4">
        <row r="8">
          <cell r="G8">
            <v>3926.2084278714792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26">
          <cell r="N26">
            <v>2.1619999999999999</v>
          </cell>
        </row>
        <row r="27">
          <cell r="N27">
            <v>1.2503333333333333</v>
          </cell>
        </row>
        <row r="65">
          <cell r="I65">
            <v>50000</v>
          </cell>
        </row>
        <row r="78">
          <cell r="H78">
            <v>1161200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15">
          <cell r="H15">
            <v>39363</v>
          </cell>
        </row>
        <row r="25">
          <cell r="H25">
            <v>66.37</v>
          </cell>
        </row>
        <row r="50">
          <cell r="I50">
            <v>675000</v>
          </cell>
        </row>
        <row r="58">
          <cell r="I58">
            <v>200000</v>
          </cell>
        </row>
        <row r="61">
          <cell r="I61">
            <v>714973.58700724645</v>
          </cell>
        </row>
        <row r="70">
          <cell r="E70">
            <v>200000</v>
          </cell>
        </row>
        <row r="86">
          <cell r="I86">
            <v>200000</v>
          </cell>
        </row>
        <row r="115">
          <cell r="H115">
            <v>88750</v>
          </cell>
        </row>
      </sheetData>
      <sheetData sheetId="21">
        <row r="148">
          <cell r="H148">
            <v>787.0949241900156</v>
          </cell>
        </row>
        <row r="152">
          <cell r="H152">
            <v>62.967593935201258</v>
          </cell>
        </row>
        <row r="153">
          <cell r="H153">
            <v>23.612847725700473</v>
          </cell>
        </row>
        <row r="176">
          <cell r="K176">
            <v>1516810.6284065791</v>
          </cell>
        </row>
        <row r="180">
          <cell r="K180">
            <v>3848019.6293734093</v>
          </cell>
        </row>
        <row r="181">
          <cell r="K181">
            <v>461762.35552481143</v>
          </cell>
        </row>
        <row r="210">
          <cell r="G210">
            <v>49</v>
          </cell>
        </row>
        <row r="232">
          <cell r="H232">
            <v>25868.668753677532</v>
          </cell>
        </row>
        <row r="233">
          <cell r="H233">
            <v>69.986999999999995</v>
          </cell>
        </row>
        <row r="243">
          <cell r="D243">
            <v>150000</v>
          </cell>
        </row>
        <row r="257">
          <cell r="H257">
            <v>3846018.6856535333</v>
          </cell>
        </row>
      </sheetData>
      <sheetData sheetId="22">
        <row r="75">
          <cell r="I75">
            <v>49440</v>
          </cell>
        </row>
        <row r="105">
          <cell r="H105">
            <v>6163.7646268168819</v>
          </cell>
        </row>
        <row r="106">
          <cell r="H106">
            <v>2054.5882089389606</v>
          </cell>
        </row>
        <row r="107">
          <cell r="H107">
            <v>111.6</v>
          </cell>
        </row>
        <row r="114">
          <cell r="H114">
            <v>300000</v>
          </cell>
        </row>
        <row r="120">
          <cell r="H120">
            <v>125000</v>
          </cell>
        </row>
      </sheetData>
      <sheetData sheetId="23">
        <row r="2">
          <cell r="F2">
            <v>77694.530746399992</v>
          </cell>
        </row>
        <row r="7">
          <cell r="F7">
            <v>1912.8004583333332</v>
          </cell>
        </row>
        <row r="10">
          <cell r="F10">
            <v>0</v>
          </cell>
        </row>
        <row r="16">
          <cell r="F16">
            <v>1935.2191710400762</v>
          </cell>
        </row>
        <row r="20">
          <cell r="F20">
            <v>18004.425594108332</v>
          </cell>
        </row>
        <row r="23">
          <cell r="F23">
            <v>0</v>
          </cell>
        </row>
        <row r="25">
          <cell r="F25">
            <v>18215.44396933182</v>
          </cell>
        </row>
        <row r="26">
          <cell r="F26">
            <v>0</v>
          </cell>
        </row>
        <row r="27">
          <cell r="F27">
            <v>18215.44396933182</v>
          </cell>
        </row>
      </sheetData>
      <sheetData sheetId="24">
        <row r="52">
          <cell r="AC52">
            <v>10</v>
          </cell>
        </row>
      </sheetData>
      <sheetData sheetId="25"/>
      <sheetData sheetId="26"/>
      <sheetData sheetId="27"/>
      <sheetData sheetId="28"/>
      <sheetData sheetId="29"/>
      <sheetData sheetId="30"/>
      <sheetData sheetId="32"/>
      <sheetData sheetId="34"/>
      <sheetData sheetId="36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showGridLines="0" tabSelected="1" workbookViewId="0">
      <selection activeCell="I5" sqref="I5"/>
    </sheetView>
  </sheetViews>
  <sheetFormatPr baseColWidth="10" defaultRowHeight="15" x14ac:dyDescent="0.25"/>
  <cols>
    <col min="1" max="1" width="19.5703125" style="5" customWidth="1"/>
    <col min="2" max="3" width="15.7109375" customWidth="1"/>
    <col min="4" max="4" width="17" bestFit="1" customWidth="1"/>
    <col min="5" max="7" width="15.42578125" customWidth="1"/>
    <col min="8" max="8" width="15.7109375" customWidth="1"/>
  </cols>
  <sheetData>
    <row r="1" spans="1:8" x14ac:dyDescent="0.25">
      <c r="A1" s="1" t="s">
        <v>2</v>
      </c>
    </row>
    <row r="2" spans="1:8" x14ac:dyDescent="0.25">
      <c r="A2" s="15" t="s">
        <v>59</v>
      </c>
    </row>
    <row r="4" spans="1:8" x14ac:dyDescent="0.25">
      <c r="A4" s="24" t="s">
        <v>37</v>
      </c>
      <c r="B4" s="13">
        <v>1.3</v>
      </c>
      <c r="C4" s="39" t="s">
        <v>4</v>
      </c>
      <c r="D4" s="93" t="s">
        <v>69</v>
      </c>
      <c r="E4" s="94"/>
      <c r="F4" s="94"/>
      <c r="G4" s="94"/>
      <c r="H4" s="95"/>
    </row>
    <row r="5" spans="1:8" s="42" customFormat="1" ht="30" x14ac:dyDescent="0.25">
      <c r="B5" s="83"/>
      <c r="C5" s="96" t="s">
        <v>108</v>
      </c>
      <c r="D5" s="97"/>
      <c r="E5" s="41" t="s">
        <v>83</v>
      </c>
      <c r="F5" s="41" t="s">
        <v>84</v>
      </c>
      <c r="G5" s="41" t="s">
        <v>85</v>
      </c>
      <c r="H5" s="41" t="s">
        <v>86</v>
      </c>
    </row>
    <row r="6" spans="1:8" x14ac:dyDescent="0.25">
      <c r="A6" s="98" t="s">
        <v>70</v>
      </c>
      <c r="B6" s="81" t="s">
        <v>75</v>
      </c>
      <c r="C6" s="87">
        <f>'Base STD'!C8:F8</f>
        <v>883.18024999999989</v>
      </c>
      <c r="D6" s="87">
        <f>'Base 2 VAR'!C8</f>
        <v>883.18024999999989</v>
      </c>
      <c r="E6" s="87">
        <f>'Base 2 VAR M à 1 C a 0,6 $kg'!C8</f>
        <v>1743.2776593511448</v>
      </c>
      <c r="F6" s="87">
        <f>'Base 2 VAR 100 % C a 0,6 $kg'!C8</f>
        <v>0</v>
      </c>
      <c r="G6" s="87">
        <f>'Base 2 VAR M à 38% C a 20%'!C8</f>
        <v>0</v>
      </c>
      <c r="H6" s="87">
        <f>'Base 2 VAR 100 % C à 20%'!C8</f>
        <v>0</v>
      </c>
    </row>
    <row r="7" spans="1:8" x14ac:dyDescent="0.25">
      <c r="A7" s="98"/>
      <c r="B7" s="81" t="s">
        <v>74</v>
      </c>
      <c r="C7" s="88">
        <f>'Base STD'!C9:F9</f>
        <v>1</v>
      </c>
      <c r="D7" s="88">
        <f>'Base 2 VAR'!C9</f>
        <v>1</v>
      </c>
      <c r="E7" s="88">
        <f>'Base 2 VAR M à 1 C a 0,6 $kg'!C9</f>
        <v>1</v>
      </c>
      <c r="F7" s="88">
        <f>'Base 2 VAR 100 % C a 0,6 $kg'!C9</f>
        <v>0</v>
      </c>
      <c r="G7" s="88">
        <f>'Base 2 VAR M à 38% C a 20%'!C9</f>
        <v>0</v>
      </c>
      <c r="H7" s="88">
        <f>'Base 2 VAR 100 % C à 20%'!C9</f>
        <v>0</v>
      </c>
    </row>
    <row r="8" spans="1:8" x14ac:dyDescent="0.25">
      <c r="A8" s="98" t="s">
        <v>71</v>
      </c>
      <c r="B8" s="81" t="s">
        <v>75</v>
      </c>
      <c r="C8" s="87">
        <f>'Base STD'!C10:F10</f>
        <v>860.09740935114507</v>
      </c>
      <c r="D8" s="87">
        <f>'Base 2 VAR'!C10</f>
        <v>860.09740935114507</v>
      </c>
      <c r="E8" s="87">
        <f>'Base 2 VAR M à 1 C a 0,6 $kg'!C10</f>
        <v>0</v>
      </c>
      <c r="F8" s="87">
        <f>'Base 2 VAR 100 % C a 0,6 $kg'!C10</f>
        <v>0</v>
      </c>
      <c r="G8" s="87">
        <f>'Base 2 VAR M à 38% C a 20%'!C10</f>
        <v>1743.2776593511448</v>
      </c>
      <c r="H8" s="87">
        <f>'Base 2 VAR 100 % C à 20%'!C10</f>
        <v>0</v>
      </c>
    </row>
    <row r="9" spans="1:8" x14ac:dyDescent="0.25">
      <c r="A9" s="98"/>
      <c r="B9" s="81" t="s">
        <v>74</v>
      </c>
      <c r="C9" s="89">
        <f>'Base STD'!C11:F11</f>
        <v>9.4125999999999994</v>
      </c>
      <c r="D9" s="89">
        <f>'Base 2 VAR'!C11</f>
        <v>9.4125999999999994</v>
      </c>
      <c r="E9" s="89">
        <f>'Base 2 VAR M à 1 C a 0,6 $kg'!C11</f>
        <v>0</v>
      </c>
      <c r="F9" s="89">
        <f>'Base 2 VAR 100 % C a 0,6 $kg'!C11</f>
        <v>0</v>
      </c>
      <c r="G9" s="89">
        <f>'Base 2 VAR M à 38% C a 20%'!C11</f>
        <v>9.4125999999999994</v>
      </c>
      <c r="H9" s="89">
        <f>'Base 2 VAR 100 % C à 20%'!C11</f>
        <v>0</v>
      </c>
    </row>
    <row r="10" spans="1:8" x14ac:dyDescent="0.25">
      <c r="A10" s="98" t="s">
        <v>72</v>
      </c>
      <c r="B10" s="81" t="s">
        <v>75</v>
      </c>
      <c r="C10" s="87">
        <f>'Base STD'!C12:F12</f>
        <v>1235.5442499999999</v>
      </c>
      <c r="D10" s="87">
        <f>'Base 2 VAR'!C12</f>
        <v>1235.5442499999999</v>
      </c>
      <c r="E10" s="87">
        <f>'Base 2 VAR M à 1 C a 0,6 $kg'!C12</f>
        <v>2525.6903640267174</v>
      </c>
      <c r="F10" s="87">
        <f>'Base 2 VAR 100 % C a 0,6 $kg'!C12</f>
        <v>4617.6235552480921</v>
      </c>
      <c r="G10" s="87">
        <f>'Base 2 VAR M à 38% C a 20%'!C12</f>
        <v>0</v>
      </c>
      <c r="H10" s="87">
        <f>'Base 2 VAR 100 % C à 20%'!C12</f>
        <v>0</v>
      </c>
    </row>
    <row r="11" spans="1:8" ht="15.75" customHeight="1" x14ac:dyDescent="0.25">
      <c r="A11" s="98"/>
      <c r="B11" s="81" t="s">
        <v>74</v>
      </c>
      <c r="C11" s="88">
        <f>'Base STD'!C13:F13</f>
        <v>0.60000000000000009</v>
      </c>
      <c r="D11" s="88">
        <f>'Base 2 VAR'!C13</f>
        <v>0.60000000000000009</v>
      </c>
      <c r="E11" s="88">
        <f>'Base 2 VAR M à 1 C a 0,6 $kg'!C13</f>
        <v>0.6</v>
      </c>
      <c r="F11" s="88">
        <f>'Base 2 VAR 100 % C a 0,6 $kg'!C13</f>
        <v>0.6</v>
      </c>
      <c r="G11" s="88">
        <f>'Base 2 VAR M à 38% C a 20%'!C13</f>
        <v>0</v>
      </c>
      <c r="H11" s="88">
        <f>'Base 2 VAR 100 % C à 20%'!C13</f>
        <v>0</v>
      </c>
    </row>
    <row r="12" spans="1:8" x14ac:dyDescent="0.25">
      <c r="A12" s="98" t="s">
        <v>73</v>
      </c>
      <c r="B12" s="81" t="s">
        <v>75</v>
      </c>
      <c r="C12" s="87">
        <f>'Base STD'!C14:F14</f>
        <v>1290.1461140267174</v>
      </c>
      <c r="D12" s="87">
        <f>'Base 2 VAR'!C14</f>
        <v>1290.1461140267174</v>
      </c>
      <c r="E12" s="87">
        <f>'Base 2 VAR M à 1 C a 0,6 $kg'!C14</f>
        <v>0</v>
      </c>
      <c r="F12" s="87">
        <f>'Base 2 VAR 100 % C a 0,6 $kg'!C14</f>
        <v>0</v>
      </c>
      <c r="G12" s="87">
        <f>'Base 2 VAR M à 38% C a 20%'!C14</f>
        <v>2525.6903640267174</v>
      </c>
      <c r="H12" s="87">
        <f>'Base 2 VAR 100 % C à 20%'!C14</f>
        <v>4617.6235552480921</v>
      </c>
    </row>
    <row r="13" spans="1:8" x14ac:dyDescent="0.25">
      <c r="A13" s="98"/>
      <c r="B13" s="81" t="s">
        <v>74</v>
      </c>
      <c r="C13" s="89">
        <f>'Base STD'!C15:F15</f>
        <v>4.9540000000000006</v>
      </c>
      <c r="D13" s="89">
        <f>'Base 2 VAR'!C15</f>
        <v>4.9540000000000006</v>
      </c>
      <c r="E13" s="89">
        <f>'Base 2 VAR M à 1 C a 0,6 $kg'!C15</f>
        <v>0</v>
      </c>
      <c r="F13" s="89">
        <f>'Base 2 VAR 100 % C a 0,6 $kg'!C15</f>
        <v>0</v>
      </c>
      <c r="G13" s="89">
        <f>'Base 2 VAR M à 38% C a 20%'!C15</f>
        <v>4.9540000000000006</v>
      </c>
      <c r="H13" s="89">
        <f>'Base 2 VAR 100 % C à 20%'!C15</f>
        <v>4.9540000000000006</v>
      </c>
    </row>
    <row r="14" spans="1:8" x14ac:dyDescent="0.25">
      <c r="A14" s="84"/>
      <c r="B14" s="82" t="s">
        <v>103</v>
      </c>
      <c r="C14" s="134">
        <f>'Base STD'!F16</f>
        <v>4033.8877535871325</v>
      </c>
      <c r="D14" s="134">
        <f>'Base 2 VAR'!F16</f>
        <v>3926.2084278714792</v>
      </c>
      <c r="E14" s="134">
        <f>'Base 2 VAR M à 1 C a 0,6 $kg'!F16</f>
        <v>3926.2084278714792</v>
      </c>
      <c r="F14" s="134">
        <f>'Base 2 VAR 100 % C a 0,6 $kg'!F16</f>
        <v>3926.2084278714792</v>
      </c>
      <c r="G14" s="134">
        <f>'Base 2 VAR M à 38% C a 20%'!F16</f>
        <v>3926.2084278714792</v>
      </c>
      <c r="H14" s="134">
        <f>'Base 2 VAR 100 % C à 20%'!F16</f>
        <v>3926.2084278714792</v>
      </c>
    </row>
    <row r="16" spans="1:8" x14ac:dyDescent="0.25">
      <c r="C16" s="93" t="s">
        <v>81</v>
      </c>
      <c r="D16" s="94"/>
      <c r="E16" s="94"/>
      <c r="F16" s="94"/>
      <c r="G16" s="94"/>
      <c r="H16" s="95"/>
    </row>
    <row r="17" spans="1:8" x14ac:dyDescent="0.25">
      <c r="A17" s="29"/>
      <c r="B17" s="31"/>
      <c r="C17" s="43"/>
      <c r="D17" s="43"/>
      <c r="E17" s="43"/>
      <c r="F17" s="43"/>
      <c r="G17" s="43"/>
      <c r="H17" s="43"/>
    </row>
    <row r="18" spans="1:8" x14ac:dyDescent="0.25">
      <c r="A18" s="91" t="s">
        <v>5</v>
      </c>
      <c r="B18" s="92"/>
      <c r="C18" s="45">
        <f>'Base STD'!F19</f>
        <v>0.57118596866040228</v>
      </c>
      <c r="D18" s="45">
        <f>'Base 2 VAR'!F19</f>
        <v>0.65353882406876485</v>
      </c>
      <c r="E18" s="45">
        <f>'Base 2 VAR M à 1 C a 0,6 $kg'!F19</f>
        <v>0.65353882406876485</v>
      </c>
      <c r="F18" s="45">
        <f>'Base 2 VAR 100 % C a 0,6 $kg'!F19</f>
        <v>0.65353882406876485</v>
      </c>
      <c r="G18" s="45">
        <f>'Base 2 VAR M à 38% C a 20%'!F19</f>
        <v>0.65353882406876485</v>
      </c>
      <c r="H18" s="45">
        <f>'Base 2 VAR 100 % C à 20%'!F19</f>
        <v>0.65353882406876485</v>
      </c>
    </row>
    <row r="19" spans="1:8" x14ac:dyDescent="0.25">
      <c r="A19" s="72"/>
      <c r="B19" s="73"/>
      <c r="C19" s="45"/>
      <c r="D19" s="45"/>
      <c r="E19" s="45"/>
      <c r="F19" s="45"/>
      <c r="G19" s="45"/>
      <c r="H19" s="45"/>
    </row>
    <row r="20" spans="1:8" x14ac:dyDescent="0.25">
      <c r="A20" s="72" t="s">
        <v>21</v>
      </c>
      <c r="B20" s="73"/>
      <c r="C20" s="45">
        <f>'Base STD'!F21</f>
        <v>0.71286068816438297</v>
      </c>
      <c r="D20" s="45">
        <f>'Base 2 VAR'!F21</f>
        <v>0.73241144804911762</v>
      </c>
      <c r="E20" s="45">
        <f>'Base 2 VAR M à 1 C a 0,6 $kg'!F21</f>
        <v>0.73241144804911762</v>
      </c>
      <c r="F20" s="45">
        <f>'Base 2 VAR 100 % C a 0,6 $kg'!F21</f>
        <v>0.73241144804911762</v>
      </c>
      <c r="G20" s="45">
        <f>'Base 2 VAR M à 38% C a 20%'!F21</f>
        <v>0.73241144804911762</v>
      </c>
      <c r="H20" s="45">
        <f>'Base 2 VAR 100 % C à 20%'!F21</f>
        <v>0.73241144804911762</v>
      </c>
    </row>
    <row r="21" spans="1:8" x14ac:dyDescent="0.25">
      <c r="A21" s="72"/>
      <c r="B21" s="73"/>
      <c r="C21" s="45"/>
      <c r="D21" s="45"/>
      <c r="E21" s="45"/>
      <c r="F21" s="45"/>
      <c r="G21" s="45"/>
      <c r="H21" s="45"/>
    </row>
    <row r="22" spans="1:8" x14ac:dyDescent="0.25">
      <c r="A22" s="72" t="s">
        <v>6</v>
      </c>
      <c r="B22" s="73"/>
      <c r="C22" s="45">
        <f>'Base STD'!F23</f>
        <v>0.6443629816740849</v>
      </c>
      <c r="D22" s="45">
        <f>'Base 2 VAR'!F23</f>
        <v>0.75307510337851247</v>
      </c>
      <c r="E22" s="45">
        <f>'Base 2 VAR M à 1 C a 0,6 $kg'!F23</f>
        <v>0.75307510337851247</v>
      </c>
      <c r="F22" s="45">
        <f>'Base 2 VAR 100 % C a 0,6 $kg'!F23</f>
        <v>0.75307510337851247</v>
      </c>
      <c r="G22" s="45">
        <f>'Base 2 VAR M à 38% C a 20%'!F23</f>
        <v>0.75307510337851247</v>
      </c>
      <c r="H22" s="45">
        <f>'Base 2 VAR 100 % C à 20%'!F23</f>
        <v>0.75307510337851247</v>
      </c>
    </row>
    <row r="23" spans="1:8" x14ac:dyDescent="0.25">
      <c r="A23" s="74"/>
      <c r="B23" s="73"/>
      <c r="C23" s="45"/>
      <c r="D23" s="45"/>
      <c r="E23" s="45"/>
      <c r="F23" s="45"/>
      <c r="G23" s="45"/>
      <c r="H23" s="45"/>
    </row>
    <row r="24" spans="1:8" x14ac:dyDescent="0.25">
      <c r="A24" s="75" t="s">
        <v>28</v>
      </c>
      <c r="B24" s="73"/>
      <c r="C24" s="45">
        <f>'Base STD'!F25</f>
        <v>0.94105567290725556</v>
      </c>
      <c r="D24" s="45">
        <f>'Base 2 VAR'!F25</f>
        <v>1.0182769752564309</v>
      </c>
      <c r="E24" s="45">
        <f>'Base 2 VAR M à 1 C a 0,6 $kg'!F25</f>
        <v>1.0182769752564309</v>
      </c>
      <c r="F24" s="45">
        <f>'Base 2 VAR 100 % C a 0,6 $kg'!F25</f>
        <v>0.46606670068889661</v>
      </c>
      <c r="G24" s="45">
        <f>'Base 2 VAR M à 38% C a 20%'!F25</f>
        <v>1.0182769752564309</v>
      </c>
      <c r="H24" s="45">
        <f>'Base 2 VAR 100 % C à 20%'!F25</f>
        <v>0.46606670068889661</v>
      </c>
    </row>
    <row r="25" spans="1:8" x14ac:dyDescent="0.25">
      <c r="A25" s="72"/>
      <c r="B25" s="73"/>
      <c r="C25" s="45"/>
      <c r="D25" s="45"/>
      <c r="E25" s="45"/>
      <c r="F25" s="45"/>
      <c r="G25" s="45"/>
      <c r="H25" s="45"/>
    </row>
    <row r="26" spans="1:8" x14ac:dyDescent="0.25">
      <c r="A26" s="72" t="s">
        <v>7</v>
      </c>
      <c r="B26" s="73"/>
      <c r="C26" s="45"/>
      <c r="D26" s="45"/>
      <c r="E26" s="45"/>
      <c r="F26" s="45"/>
      <c r="G26" s="45"/>
      <c r="H26" s="45"/>
    </row>
    <row r="27" spans="1:8" x14ac:dyDescent="0.25">
      <c r="A27" s="76" t="s">
        <v>8</v>
      </c>
      <c r="B27" s="73"/>
      <c r="C27" s="45">
        <f>'Base STD'!F28</f>
        <v>3.9940733377669413</v>
      </c>
      <c r="D27" s="45">
        <f>'Base 2 VAR'!F28</f>
        <v>4.1036139115216494</v>
      </c>
      <c r="E27" s="45">
        <f>'Base 2 VAR M à 1 C a 0,6 $kg'!F28</f>
        <v>0.82998443348913453</v>
      </c>
      <c r="F27" s="45">
        <f>'Base 2 VAR 100 % C a 0,6 $kg'!F28</f>
        <v>0.70566150117783488</v>
      </c>
      <c r="G27" s="45">
        <f>'Base 2 VAR M à 38% C a 20%'!F28</f>
        <v>7.3661513114004373</v>
      </c>
      <c r="H27" s="45">
        <f>'Base 2 VAR 100 % C à 20%'!F28</f>
        <v>5.8264117947249918</v>
      </c>
    </row>
    <row r="28" spans="1:8" x14ac:dyDescent="0.25">
      <c r="A28" s="76" t="s">
        <v>3</v>
      </c>
      <c r="B28" s="73"/>
      <c r="C28" s="45">
        <f>'Base STD'!F29</f>
        <v>1.9512068066100547</v>
      </c>
      <c r="D28" s="45">
        <f>'Base 2 VAR'!F29</f>
        <v>2.004720173800667</v>
      </c>
      <c r="E28" s="45">
        <f>'Base 2 VAR M à 1 C a 0,6 $kg'!F29</f>
        <v>2.004720173800667</v>
      </c>
      <c r="F28" s="45">
        <f>'Base 2 VAR 100 % C a 0,6 $kg'!F29</f>
        <v>2.004720173800667</v>
      </c>
      <c r="G28" s="45">
        <f>'Base 2 VAR M à 38% C a 20%'!F29</f>
        <v>2.004720173800667</v>
      </c>
      <c r="H28" s="45">
        <f>'Base 2 VAR 100 % C à 20%'!F29</f>
        <v>2.004720173800667</v>
      </c>
    </row>
    <row r="29" spans="1:8" x14ac:dyDescent="0.25">
      <c r="A29" s="76" t="s">
        <v>9</v>
      </c>
      <c r="B29" s="73"/>
      <c r="C29" s="45">
        <f>'Base STD'!F30</f>
        <v>0.48882218281237078</v>
      </c>
      <c r="D29" s="45">
        <f>'Base 2 VAR'!F30</f>
        <v>0.50222851210106456</v>
      </c>
      <c r="E29" s="45">
        <f>'Base 2 VAR M à 1 C a 0,6 $kg'!F30</f>
        <v>0.50222851210106456</v>
      </c>
      <c r="F29" s="45">
        <f>'Base 2 VAR 100 % C a 0,6 $kg'!F30</f>
        <v>0.50222851210106456</v>
      </c>
      <c r="G29" s="45">
        <f>'Base 2 VAR M à 38% C a 20%'!F30</f>
        <v>0.50222851210106456</v>
      </c>
      <c r="H29" s="45">
        <f>'Base 2 VAR 100 % C à 20%'!F30</f>
        <v>0.50222851210106456</v>
      </c>
    </row>
    <row r="30" spans="1:8" x14ac:dyDescent="0.25">
      <c r="A30" s="72"/>
      <c r="B30" s="73"/>
      <c r="C30" s="45"/>
      <c r="D30" s="45"/>
      <c r="E30" s="45"/>
      <c r="F30" s="45"/>
      <c r="G30" s="45"/>
      <c r="H30" s="45"/>
    </row>
    <row r="31" spans="1:8" x14ac:dyDescent="0.25">
      <c r="A31" s="72" t="s">
        <v>17</v>
      </c>
      <c r="B31" s="73"/>
      <c r="C31" s="45">
        <f>'Base STD'!F32</f>
        <v>1.8861175256424429</v>
      </c>
      <c r="D31" s="45">
        <f>'Base 2 VAR'!F32</f>
        <v>1.9378457685803143</v>
      </c>
      <c r="E31" s="45">
        <f>'Base 2 VAR M à 1 C a 0,6 $kg'!F32</f>
        <v>1.9378457685803143</v>
      </c>
      <c r="F31" s="45">
        <f>'Base 2 VAR 100 % C a 0,6 $kg'!F32</f>
        <v>2.4875919768742092</v>
      </c>
      <c r="G31" s="45">
        <f>'Base 2 VAR M à 38% C a 20%'!F32</f>
        <v>1.9378457685803143</v>
      </c>
      <c r="H31" s="45">
        <f>'Base 2 VAR 100 % C à 20%'!F32</f>
        <v>2.4875919768742092</v>
      </c>
    </row>
    <row r="32" spans="1:8" x14ac:dyDescent="0.25">
      <c r="A32" s="72"/>
      <c r="B32" s="73"/>
      <c r="C32" s="45"/>
      <c r="D32" s="45"/>
      <c r="E32" s="45"/>
      <c r="F32" s="45"/>
      <c r="G32" s="45"/>
      <c r="H32" s="45"/>
    </row>
    <row r="33" spans="1:8" x14ac:dyDescent="0.25">
      <c r="A33" s="72" t="s">
        <v>18</v>
      </c>
      <c r="B33" s="73"/>
      <c r="C33" s="45">
        <f>'Base STD'!F34</f>
        <v>0.25055623955768602</v>
      </c>
      <c r="D33" s="45">
        <f>'Base 2 VAR'!F34</f>
        <v>0.25742793967882499</v>
      </c>
      <c r="E33" s="45">
        <f>'Base 2 VAR M à 1 C a 0,6 $kg'!F34</f>
        <v>0.2574279396788256</v>
      </c>
      <c r="F33" s="45">
        <f>'Base 2 VAR 100 % C a 0,6 $kg'!F34</f>
        <v>0.34400998182419407</v>
      </c>
      <c r="G33" s="45">
        <f>'Base 2 VAR M à 38% C a 20%'!F34</f>
        <v>0.25742793967882527</v>
      </c>
      <c r="H33" s="45">
        <f>'Base 2 VAR 100 % C à 20%'!F34</f>
        <v>0.34400998182419473</v>
      </c>
    </row>
    <row r="34" spans="1:8" x14ac:dyDescent="0.25">
      <c r="A34" s="72"/>
      <c r="B34" s="73"/>
      <c r="C34" s="45"/>
      <c r="D34" s="45"/>
      <c r="E34" s="45"/>
      <c r="F34" s="45"/>
      <c r="G34" s="45"/>
      <c r="H34" s="45"/>
    </row>
    <row r="35" spans="1:8" x14ac:dyDescent="0.25">
      <c r="A35" s="77" t="s">
        <v>10</v>
      </c>
      <c r="B35" s="73"/>
      <c r="C35" s="45">
        <f>'Base STD'!F36</f>
        <v>1.5867114744451414</v>
      </c>
      <c r="D35" s="45">
        <f>'Base 2 VAR'!F36</f>
        <v>1.8662285733520101</v>
      </c>
      <c r="E35" s="45">
        <f>'Base 2 VAR M à 1 C a 0,6 $kg'!F36</f>
        <v>1.2366844429611419</v>
      </c>
      <c r="F35" s="45">
        <f>'Base 2 VAR 100 % C a 0,6 $kg'!F36</f>
        <v>1.2926692907113244</v>
      </c>
      <c r="G35" s="45">
        <f>'Base 2 VAR M à 38% C a 20%'!F36</f>
        <v>2.4936396117902389</v>
      </c>
      <c r="H35" s="45">
        <f>'Base 2 VAR 100 % C à 20%'!F36</f>
        <v>2.2774289625473156</v>
      </c>
    </row>
    <row r="36" spans="1:8" x14ac:dyDescent="0.25">
      <c r="A36" s="75"/>
      <c r="B36" s="73"/>
      <c r="C36" s="45"/>
      <c r="D36" s="45"/>
      <c r="E36" s="45"/>
      <c r="F36" s="45"/>
      <c r="G36" s="45"/>
      <c r="H36" s="45"/>
    </row>
    <row r="37" spans="1:8" x14ac:dyDescent="0.25">
      <c r="A37" s="77" t="s">
        <v>11</v>
      </c>
      <c r="B37" s="73"/>
      <c r="C37" s="45">
        <f>'Base STD'!F38</f>
        <v>0.28066472573343626</v>
      </c>
      <c r="D37" s="45">
        <f>'Base 2 VAR'!F38</f>
        <v>0.3844828994008298</v>
      </c>
      <c r="E37" s="45">
        <f>'Base 2 VAR M à 1 C a 0,6 $kg'!F38</f>
        <v>0.3844828994008298</v>
      </c>
      <c r="F37" s="45">
        <f>'Base 2 VAR 100 % C a 0,6 $kg'!F38</f>
        <v>0.3844828994008298</v>
      </c>
      <c r="G37" s="45">
        <f>'Base 2 VAR M à 38% C a 20%'!F38</f>
        <v>0.3844828994008298</v>
      </c>
      <c r="H37" s="45">
        <f>'Base 2 VAR 100 % C à 20%'!F38</f>
        <v>0.3844828994008298</v>
      </c>
    </row>
    <row r="38" spans="1:8" x14ac:dyDescent="0.25">
      <c r="A38" s="78"/>
      <c r="B38" s="73"/>
      <c r="C38" s="45"/>
      <c r="D38" s="45"/>
      <c r="E38" s="45"/>
      <c r="F38" s="45"/>
      <c r="G38" s="45"/>
      <c r="H38" s="45"/>
    </row>
    <row r="39" spans="1:8" x14ac:dyDescent="0.25">
      <c r="A39" s="78" t="s">
        <v>33</v>
      </c>
      <c r="B39" s="73"/>
      <c r="C39" s="45">
        <f>'Base STD'!F40</f>
        <v>0.38833523737499231</v>
      </c>
      <c r="D39" s="45">
        <f>'Base 2 VAR'!F40</f>
        <v>0.39898563387848024</v>
      </c>
      <c r="E39" s="45">
        <f>'Base 2 VAR M à 1 C a 0,6 $kg'!F40</f>
        <v>0.39898563387848024</v>
      </c>
      <c r="F39" s="45">
        <f>'Base 2 VAR 100 % C a 0,6 $kg'!F40</f>
        <v>0.39898563387848024</v>
      </c>
      <c r="G39" s="45">
        <f>'Base 2 VAR M à 38% C a 20%'!F40</f>
        <v>0.39898563387848024</v>
      </c>
      <c r="H39" s="45">
        <f>'Base 2 VAR 100 % C à 20%'!F40</f>
        <v>0.39898563387848024</v>
      </c>
    </row>
    <row r="40" spans="1:8" x14ac:dyDescent="0.25">
      <c r="A40" s="78"/>
      <c r="B40" s="73"/>
      <c r="C40" s="45"/>
      <c r="D40" s="45"/>
      <c r="E40" s="45"/>
      <c r="F40" s="45"/>
      <c r="G40" s="45"/>
      <c r="H40" s="45"/>
    </row>
    <row r="41" spans="1:8" x14ac:dyDescent="0.25">
      <c r="A41" s="77" t="s">
        <v>22</v>
      </c>
      <c r="B41" s="73"/>
      <c r="C41" s="45">
        <f>'Base STD'!F42</f>
        <v>0.40294461140816756</v>
      </c>
      <c r="D41" s="45">
        <f>'Base 2 VAR'!F42</f>
        <v>0.41399568137918025</v>
      </c>
      <c r="E41" s="45">
        <f>'Base 2 VAR M à 1 C a 0,6 $kg'!F42</f>
        <v>0.41399568137918025</v>
      </c>
      <c r="F41" s="45">
        <f>'Base 2 VAR 100 % C a 0,6 $kg'!F42</f>
        <v>0.41399568137918025</v>
      </c>
      <c r="G41" s="45">
        <f>'Base 2 VAR M à 38% C a 20%'!F42</f>
        <v>0.41399568137918025</v>
      </c>
      <c r="H41" s="45">
        <f>'Base 2 VAR 100 % C à 20%'!F42</f>
        <v>0.41399568137918025</v>
      </c>
    </row>
    <row r="42" spans="1:8" x14ac:dyDescent="0.25">
      <c r="A42" s="77"/>
      <c r="B42" s="73"/>
      <c r="C42" s="45"/>
      <c r="D42" s="45"/>
      <c r="E42" s="45"/>
      <c r="F42" s="45"/>
      <c r="G42" s="45"/>
      <c r="H42" s="45"/>
    </row>
    <row r="43" spans="1:8" x14ac:dyDescent="0.25">
      <c r="A43" s="77" t="s">
        <v>49</v>
      </c>
      <c r="B43" s="73"/>
      <c r="C43" s="45">
        <f>'Base STD'!F44</f>
        <v>0.12890790021055751</v>
      </c>
      <c r="D43" s="45">
        <f>'Base 2 VAR'!F44</f>
        <v>0.13244329982805023</v>
      </c>
      <c r="E43" s="45">
        <f>'Base 2 VAR M à 1 C a 0,6 $kg'!F44</f>
        <v>0.13244329982805023</v>
      </c>
      <c r="F43" s="45">
        <f>'Base 2 VAR 100 % C a 0,6 $kg'!F44</f>
        <v>0.13244329982805023</v>
      </c>
      <c r="G43" s="45">
        <f>'Base 2 VAR M à 38% C a 20%'!F44</f>
        <v>0.13244329982805023</v>
      </c>
      <c r="H43" s="45">
        <f>'Base 2 VAR 100 % C à 20%'!F44</f>
        <v>0.13244329982805023</v>
      </c>
    </row>
    <row r="44" spans="1:8" x14ac:dyDescent="0.25">
      <c r="A44" s="77"/>
      <c r="B44" s="73"/>
      <c r="C44" s="45"/>
      <c r="D44" s="45"/>
      <c r="E44" s="45"/>
      <c r="F44" s="45"/>
      <c r="G44" s="45"/>
      <c r="H44" s="45"/>
    </row>
    <row r="45" spans="1:8" x14ac:dyDescent="0.25">
      <c r="A45" s="77" t="s">
        <v>12</v>
      </c>
      <c r="B45" s="73"/>
      <c r="C45" s="45">
        <f>'Base STD'!F46</f>
        <v>2.2881152287373953E-2</v>
      </c>
      <c r="D45" s="45">
        <f>'Base 2 VAR'!F46</f>
        <v>2.9385857149348642E-2</v>
      </c>
      <c r="E45" s="45">
        <f>'Base 2 VAR M à 1 C a 0,6 $kg'!F46</f>
        <v>2.9385857149348642E-2</v>
      </c>
      <c r="F45" s="45">
        <f>'Base 2 VAR 100 % C a 0,6 $kg'!F46</f>
        <v>2.9385857149348642E-2</v>
      </c>
      <c r="G45" s="45">
        <f>'Base 2 VAR M à 38% C a 20%'!F46</f>
        <v>2.9385857149348642E-2</v>
      </c>
      <c r="H45" s="45">
        <f>'Base 2 VAR 100 % C à 20%'!F46</f>
        <v>2.9385857149348642E-2</v>
      </c>
    </row>
    <row r="46" spans="1:8" x14ac:dyDescent="0.25">
      <c r="A46" s="77"/>
      <c r="B46" s="73"/>
      <c r="C46" s="45"/>
      <c r="D46" s="45"/>
      <c r="E46" s="45"/>
      <c r="F46" s="45"/>
      <c r="G46" s="45"/>
      <c r="H46" s="45"/>
    </row>
    <row r="47" spans="1:8" x14ac:dyDescent="0.25">
      <c r="A47" s="77" t="s">
        <v>13</v>
      </c>
      <c r="B47" s="73"/>
      <c r="C47" s="45">
        <f>'Base STD'!F48</f>
        <v>0.23026614653122915</v>
      </c>
      <c r="D47" s="45">
        <f>'Base 2 VAR'!F48</f>
        <v>0.23673365288284323</v>
      </c>
      <c r="E47" s="45">
        <f>'Base 2 VAR M à 1 C a 0,6 $kg'!F48</f>
        <v>0.23673365288284323</v>
      </c>
      <c r="F47" s="45">
        <f>'Base 2 VAR 100 % C a 0,6 $kg'!F48</f>
        <v>0.23673365288284323</v>
      </c>
      <c r="G47" s="45">
        <f>'Base 2 VAR M à 38% C a 20%'!F48</f>
        <v>0.23673365288284323</v>
      </c>
      <c r="H47" s="45">
        <f>'Base 2 VAR 100 % C à 20%'!F48</f>
        <v>0.23673365288284323</v>
      </c>
    </row>
    <row r="48" spans="1:8" x14ac:dyDescent="0.25">
      <c r="A48" s="79"/>
      <c r="B48" s="80"/>
      <c r="C48" s="44"/>
      <c r="D48" s="44"/>
      <c r="E48" s="44"/>
      <c r="F48" s="44"/>
      <c r="G48" s="44"/>
      <c r="H48" s="44"/>
    </row>
    <row r="49" spans="1:8" x14ac:dyDescent="0.25">
      <c r="A49" s="11"/>
    </row>
    <row r="50" spans="1:8" x14ac:dyDescent="0.25">
      <c r="A50" s="29" t="s">
        <v>66</v>
      </c>
      <c r="B50" s="30"/>
      <c r="C50" s="21"/>
      <c r="D50" s="21"/>
      <c r="E50" s="21"/>
      <c r="F50" s="21"/>
      <c r="G50" s="21"/>
      <c r="H50" s="21"/>
    </row>
    <row r="51" spans="1:8" x14ac:dyDescent="0.25">
      <c r="A51" s="32" t="s">
        <v>54</v>
      </c>
      <c r="B51" s="33"/>
      <c r="C51" s="21">
        <f>'Base STD'!F52</f>
        <v>8.5707760923894938</v>
      </c>
      <c r="D51" s="21">
        <f>'Base 2 VAR'!F52</f>
        <v>8.8058363056825204</v>
      </c>
      <c r="E51" s="21">
        <f>'Base 2 VAR M à 1 C a 0,6 $kg'!F52</f>
        <v>5.5322068276500058</v>
      </c>
      <c r="F51" s="21">
        <f>'Base 2 VAR 100 % C a 0,6 $kg'!F52</f>
        <v>6.0442121457779701</v>
      </c>
      <c r="G51" s="21">
        <f>'Base 2 VAR M à 38% C a 20%'!F52</f>
        <v>12.068373705561308</v>
      </c>
      <c r="H51" s="21">
        <f>'Base 2 VAR 100 % C à 20%'!F52</f>
        <v>11.164962439325128</v>
      </c>
    </row>
    <row r="52" spans="1:8" x14ac:dyDescent="0.25">
      <c r="A52" s="32" t="s">
        <v>55</v>
      </c>
      <c r="B52" s="33"/>
      <c r="C52" s="21">
        <f>'Base STD'!F53</f>
        <v>2.4601505012625529</v>
      </c>
      <c r="D52" s="21">
        <f>'Base 2 VAR'!F53</f>
        <v>2.8387596592538871</v>
      </c>
      <c r="E52" s="21">
        <f>'Base 2 VAR M à 1 C a 0,6 $kg'!F53</f>
        <v>2.8387596592538871</v>
      </c>
      <c r="F52" s="21">
        <f>'Base 2 VAR 100 % C a 0,6 $kg'!F53</f>
        <v>2.2865493846863525</v>
      </c>
      <c r="G52" s="21">
        <f>'Base 2 VAR M à 38% C a 20%'!F53</f>
        <v>2.8387596592538871</v>
      </c>
      <c r="H52" s="21">
        <f>'Base 2 VAR 100 % C à 20%'!F53</f>
        <v>2.2865493846863525</v>
      </c>
    </row>
    <row r="53" spans="1:8" x14ac:dyDescent="0.25">
      <c r="A53" s="32" t="s">
        <v>56</v>
      </c>
      <c r="B53" s="33"/>
      <c r="C53" s="21">
        <f>'Base STD'!F54</f>
        <v>1.8633145836893297</v>
      </c>
      <c r="D53" s="21">
        <f>'Base 2 VAR'!F54</f>
        <v>1.9145697160176716</v>
      </c>
      <c r="E53" s="21">
        <f>'Base 2 VAR M à 1 C a 0,6 $kg'!F54</f>
        <v>1.9145697160176716</v>
      </c>
      <c r="F53" s="21">
        <f>'Base 2 VAR 100 % C a 0,6 $kg'!F54</f>
        <v>1.9145697160176716</v>
      </c>
      <c r="G53" s="21">
        <f>'Base 2 VAR M à 38% C a 20%'!F54</f>
        <v>1.9145697160176716</v>
      </c>
      <c r="H53" s="21">
        <f>'Base 2 VAR 100 % C à 20%'!F54</f>
        <v>1.9145697160176716</v>
      </c>
    </row>
    <row r="54" spans="1:8" x14ac:dyDescent="0.25">
      <c r="A54" s="35" t="s">
        <v>57</v>
      </c>
      <c r="B54" s="33"/>
      <c r="C54" s="135">
        <f>'Base STD'!F55</f>
        <v>12.894241177341378</v>
      </c>
      <c r="D54" s="135">
        <f>'Base 2 VAR'!F55</f>
        <v>13.559165680954079</v>
      </c>
      <c r="E54" s="135">
        <f>'Base 2 VAR M à 1 C a 0,6 $kg'!F55</f>
        <v>10.285536202921564</v>
      </c>
      <c r="F54" s="135">
        <f>'Base 2 VAR 100 % C a 0,6 $kg'!F55</f>
        <v>10.245331246481994</v>
      </c>
      <c r="G54" s="135">
        <f>'Base 2 VAR M à 38% C a 20%'!F55</f>
        <v>16.821703080832865</v>
      </c>
      <c r="H54" s="135">
        <f>'Base 2 VAR 100 % C à 20%'!F55</f>
        <v>15.366081540029153</v>
      </c>
    </row>
    <row r="55" spans="1:8" x14ac:dyDescent="0.25">
      <c r="A55" s="36" t="s">
        <v>58</v>
      </c>
      <c r="B55" s="37"/>
      <c r="C55" s="21">
        <f>'Base STD'!F56</f>
        <v>1.5867114744451414</v>
      </c>
      <c r="D55" s="21">
        <f>'Base 2 VAR'!F56</f>
        <v>1.8662285733520101</v>
      </c>
      <c r="E55" s="21">
        <f>'Base 2 VAR M à 1 C a 0,6 $kg'!F56</f>
        <v>1.2366844429611419</v>
      </c>
      <c r="F55" s="21">
        <f>'Base 2 VAR 100 % C a 0,6 $kg'!F56</f>
        <v>1.2926692907113244</v>
      </c>
      <c r="G55" s="21">
        <f>'Base 2 VAR M à 38% C a 20%'!F56</f>
        <v>2.4936396117902389</v>
      </c>
      <c r="H55" s="21">
        <f>'Base 2 VAR 100 % C à 20%'!F56</f>
        <v>2.2774289625473156</v>
      </c>
    </row>
    <row r="56" spans="1:8" x14ac:dyDescent="0.25">
      <c r="A56" s="11"/>
    </row>
    <row r="57" spans="1:8" x14ac:dyDescent="0.25">
      <c r="A57" s="11" t="s">
        <v>35</v>
      </c>
      <c r="C57" s="21">
        <f>'Base STD'!F58</f>
        <v>19.26045926223658</v>
      </c>
      <c r="D57" s="21">
        <f>'Base 2 VAR'!F58</f>
        <v>19.788692366625234</v>
      </c>
      <c r="E57" s="21">
        <f>'Base 2 VAR M à 1 C a 0,6 $kg'!F58</f>
        <v>19.788692366625234</v>
      </c>
      <c r="F57" s="21">
        <f>'Base 2 VAR 100 % C a 0,6 $kg'!F58</f>
        <v>19.788692366625234</v>
      </c>
      <c r="G57" s="21">
        <f>'Base 2 VAR M à 38% C a 20%'!F58</f>
        <v>19.788692366625234</v>
      </c>
      <c r="H57" s="21">
        <f>'Base 2 VAR 100 % C à 20%'!F58</f>
        <v>19.788692366625234</v>
      </c>
    </row>
    <row r="58" spans="1:8" x14ac:dyDescent="0.25">
      <c r="A58" s="11"/>
    </row>
    <row r="59" spans="1:8" x14ac:dyDescent="0.25">
      <c r="A59" s="11"/>
    </row>
    <row r="60" spans="1:8" x14ac:dyDescent="0.25">
      <c r="A60" s="11"/>
    </row>
    <row r="61" spans="1:8" x14ac:dyDescent="0.25">
      <c r="A61" s="11"/>
    </row>
    <row r="62" spans="1:8" x14ac:dyDescent="0.25">
      <c r="A62" s="11"/>
    </row>
    <row r="63" spans="1:8" x14ac:dyDescent="0.25">
      <c r="A63" s="11"/>
    </row>
    <row r="64" spans="1:8" x14ac:dyDescent="0.25">
      <c r="A64" s="11"/>
    </row>
    <row r="65" spans="1:1" x14ac:dyDescent="0.25">
      <c r="A65" s="11"/>
    </row>
    <row r="66" spans="1:1" x14ac:dyDescent="0.25">
      <c r="A66" s="11"/>
    </row>
    <row r="67" spans="1:1" x14ac:dyDescent="0.25">
      <c r="A67" s="11"/>
    </row>
    <row r="68" spans="1:1" x14ac:dyDescent="0.25">
      <c r="A68" s="11"/>
    </row>
    <row r="69" spans="1:1" x14ac:dyDescent="0.25">
      <c r="A69" s="11"/>
    </row>
    <row r="70" spans="1:1" x14ac:dyDescent="0.25">
      <c r="A70" s="11"/>
    </row>
    <row r="71" spans="1:1" x14ac:dyDescent="0.25">
      <c r="A71" s="11"/>
    </row>
    <row r="72" spans="1:1" x14ac:dyDescent="0.25">
      <c r="A72" s="11"/>
    </row>
    <row r="73" spans="1:1" x14ac:dyDescent="0.25">
      <c r="A73" s="11"/>
    </row>
    <row r="74" spans="1:1" x14ac:dyDescent="0.25">
      <c r="A74" s="11"/>
    </row>
    <row r="75" spans="1:1" x14ac:dyDescent="0.25">
      <c r="A75" s="11"/>
    </row>
    <row r="76" spans="1:1" x14ac:dyDescent="0.25">
      <c r="A76" s="8"/>
    </row>
    <row r="77" spans="1:1" x14ac:dyDescent="0.25">
      <c r="A77" s="8"/>
    </row>
    <row r="78" spans="1:1" x14ac:dyDescent="0.25">
      <c r="A78" s="8"/>
    </row>
    <row r="79" spans="1:1" x14ac:dyDescent="0.25">
      <c r="A79" s="8"/>
    </row>
    <row r="80" spans="1:1" x14ac:dyDescent="0.25">
      <c r="A80" s="8"/>
    </row>
    <row r="81" spans="1:1" x14ac:dyDescent="0.25">
      <c r="A81" s="8"/>
    </row>
    <row r="82" spans="1:1" x14ac:dyDescent="0.25">
      <c r="A82" s="8"/>
    </row>
    <row r="83" spans="1:1" x14ac:dyDescent="0.25">
      <c r="A83" s="8"/>
    </row>
    <row r="84" spans="1:1" x14ac:dyDescent="0.25">
      <c r="A84" s="8"/>
    </row>
    <row r="85" spans="1:1" x14ac:dyDescent="0.25">
      <c r="A85" s="8"/>
    </row>
    <row r="86" spans="1:1" x14ac:dyDescent="0.25">
      <c r="A86" s="10"/>
    </row>
  </sheetData>
  <mergeCells count="8">
    <mergeCell ref="A18:B18"/>
    <mergeCell ref="D4:H4"/>
    <mergeCell ref="C16:H16"/>
    <mergeCell ref="C5:D5"/>
    <mergeCell ref="A6:A7"/>
    <mergeCell ref="A8:A9"/>
    <mergeCell ref="A10:A11"/>
    <mergeCell ref="A12:A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activeCell="H25" sqref="H25"/>
    </sheetView>
  </sheetViews>
  <sheetFormatPr baseColWidth="10" defaultRowHeight="15" x14ac:dyDescent="0.25"/>
  <cols>
    <col min="1" max="1" width="33.5703125" style="5" customWidth="1"/>
    <col min="3" max="3" width="15.7109375" customWidth="1"/>
    <col min="4" max="4" width="17" bestFit="1" customWidth="1"/>
    <col min="5" max="5" width="15.42578125" customWidth="1"/>
    <col min="6" max="6" width="15.7109375" customWidth="1"/>
    <col min="7" max="7" width="72.7109375" customWidth="1"/>
  </cols>
  <sheetData>
    <row r="1" spans="1:6" x14ac:dyDescent="0.25">
      <c r="C1" t="s">
        <v>107</v>
      </c>
    </row>
    <row r="4" spans="1:6" x14ac:dyDescent="0.25">
      <c r="A4" s="1" t="s">
        <v>2</v>
      </c>
    </row>
    <row r="5" spans="1:6" x14ac:dyDescent="0.25">
      <c r="A5" s="15" t="s">
        <v>59</v>
      </c>
    </row>
    <row r="6" spans="1:6" x14ac:dyDescent="0.25">
      <c r="C6" s="124" t="s">
        <v>109</v>
      </c>
      <c r="D6" s="124"/>
      <c r="E6" s="124"/>
      <c r="F6" s="124"/>
    </row>
    <row r="7" spans="1:6" x14ac:dyDescent="0.25">
      <c r="A7" s="24" t="s">
        <v>37</v>
      </c>
      <c r="B7" s="85">
        <f>'Synthèse SAFRAN'!B4</f>
        <v>1.3</v>
      </c>
      <c r="C7" s="124" t="s">
        <v>0</v>
      </c>
      <c r="D7" s="124"/>
      <c r="E7" s="124"/>
      <c r="F7" s="124"/>
    </row>
    <row r="8" spans="1:6" x14ac:dyDescent="0.25">
      <c r="A8" s="98" t="s">
        <v>70</v>
      </c>
      <c r="B8" s="81" t="s">
        <v>75</v>
      </c>
      <c r="C8" s="125">
        <f>[8]Scénario!$F$7</f>
        <v>1912.8004583333332</v>
      </c>
      <c r="D8" s="126"/>
      <c r="E8" s="126"/>
      <c r="F8" s="127"/>
    </row>
    <row r="9" spans="1:6" x14ac:dyDescent="0.25">
      <c r="A9" s="98"/>
      <c r="B9" s="81" t="s">
        <v>74</v>
      </c>
      <c r="C9" s="131">
        <f>[8]Scénario!$F$20/[8]Scénario!$F$7</f>
        <v>9.4125999999999994</v>
      </c>
      <c r="D9" s="132"/>
      <c r="E9" s="132"/>
      <c r="F9" s="133"/>
    </row>
    <row r="10" spans="1:6" x14ac:dyDescent="0.25">
      <c r="A10" s="98" t="s">
        <v>71</v>
      </c>
      <c r="B10" s="81" t="s">
        <v>75</v>
      </c>
      <c r="C10" s="125">
        <f>[8]Scénario!$F$16</f>
        <v>1935.2191710400762</v>
      </c>
      <c r="D10" s="126"/>
      <c r="E10" s="126"/>
      <c r="F10" s="127"/>
    </row>
    <row r="11" spans="1:6" x14ac:dyDescent="0.25">
      <c r="A11" s="98"/>
      <c r="B11" s="81" t="s">
        <v>74</v>
      </c>
      <c r="C11" s="131">
        <f>[8]Scénario!$F$27/[8]Scénario!$F$16</f>
        <v>9.4125999999999994</v>
      </c>
      <c r="D11" s="132"/>
      <c r="E11" s="132"/>
      <c r="F11" s="133"/>
    </row>
    <row r="12" spans="1:6" x14ac:dyDescent="0.25">
      <c r="A12" s="98" t="s">
        <v>72</v>
      </c>
      <c r="B12" s="81" t="s">
        <v>75</v>
      </c>
      <c r="C12" s="125"/>
      <c r="D12" s="126"/>
      <c r="E12" s="126"/>
      <c r="F12" s="127"/>
    </row>
    <row r="13" spans="1:6" x14ac:dyDescent="0.25">
      <c r="A13" s="98"/>
      <c r="B13" s="81" t="s">
        <v>74</v>
      </c>
      <c r="C13" s="128"/>
      <c r="D13" s="129"/>
      <c r="E13" s="129"/>
      <c r="F13" s="130"/>
    </row>
    <row r="14" spans="1:6" x14ac:dyDescent="0.25">
      <c r="A14" s="98" t="s">
        <v>73</v>
      </c>
      <c r="B14" s="81" t="s">
        <v>75</v>
      </c>
      <c r="C14" s="125"/>
      <c r="D14" s="126"/>
      <c r="E14" s="126"/>
      <c r="F14" s="127"/>
    </row>
    <row r="15" spans="1:6" x14ac:dyDescent="0.25">
      <c r="A15" s="98"/>
      <c r="B15" s="81" t="s">
        <v>74</v>
      </c>
      <c r="C15" s="128"/>
      <c r="D15" s="129"/>
      <c r="E15" s="129"/>
      <c r="F15" s="130"/>
    </row>
    <row r="16" spans="1:6" x14ac:dyDescent="0.25">
      <c r="C16" s="124" t="s">
        <v>80</v>
      </c>
      <c r="D16" s="124"/>
      <c r="E16" s="124"/>
      <c r="F16" s="40">
        <f>'[8]Exploitation année pleine'!$G$8</f>
        <v>3926.2084278714792</v>
      </c>
    </row>
    <row r="17" spans="1:8" x14ac:dyDescent="0.25">
      <c r="C17" s="90" t="s">
        <v>14</v>
      </c>
      <c r="D17" s="90" t="s">
        <v>15</v>
      </c>
      <c r="E17" s="90" t="s">
        <v>16</v>
      </c>
      <c r="F17" s="90" t="s">
        <v>19</v>
      </c>
      <c r="G17" s="17" t="s">
        <v>23</v>
      </c>
    </row>
    <row r="18" spans="1:8" x14ac:dyDescent="0.25">
      <c r="B18" s="3" t="s">
        <v>1</v>
      </c>
      <c r="C18" s="3"/>
      <c r="D18" s="3"/>
      <c r="E18" s="3"/>
      <c r="F18" s="3"/>
    </row>
    <row r="19" spans="1:8" x14ac:dyDescent="0.25">
      <c r="A19" s="8" t="s">
        <v>5</v>
      </c>
      <c r="C19" s="3"/>
      <c r="D19" s="4">
        <f>'[8]Données PAMCHR'!$G$210*'[8]Données gestion'!$H$15*(1+2/3*3.5%)</f>
        <v>1973792.0300000003</v>
      </c>
      <c r="E19" s="19">
        <f>C19+D19*eurodol</f>
        <v>2565929.6390000004</v>
      </c>
      <c r="F19" s="21">
        <f>E19/$F$16/1000</f>
        <v>0.65353882406876485</v>
      </c>
      <c r="G19" t="s">
        <v>51</v>
      </c>
    </row>
    <row r="20" spans="1:8" x14ac:dyDescent="0.25">
      <c r="A20" s="8"/>
      <c r="C20" s="3"/>
      <c r="D20" s="3"/>
      <c r="E20" s="19"/>
      <c r="F20" s="21"/>
    </row>
    <row r="21" spans="1:8" x14ac:dyDescent="0.25">
      <c r="A21" s="8" t="s">
        <v>21</v>
      </c>
      <c r="C21" s="3"/>
      <c r="D21" s="4">
        <f>'[8]Données Investissement'!$I$65+'[8]Données Investissement'!$N$26*1000*1000</f>
        <v>2212000</v>
      </c>
      <c r="E21" s="19">
        <f>C21+D21*eurodol</f>
        <v>2875600</v>
      </c>
      <c r="F21" s="21">
        <f t="shared" ref="F21:F48" si="0">E21/$F$16/1000</f>
        <v>0.73241144804911762</v>
      </c>
      <c r="G21" t="s">
        <v>27</v>
      </c>
    </row>
    <row r="22" spans="1:8" x14ac:dyDescent="0.25">
      <c r="A22" s="8"/>
      <c r="C22" s="3"/>
      <c r="D22" s="3"/>
      <c r="E22" s="19"/>
      <c r="F22" s="21"/>
    </row>
    <row r="23" spans="1:8" x14ac:dyDescent="0.25">
      <c r="A23" s="8" t="s">
        <v>6</v>
      </c>
      <c r="C23" s="3"/>
      <c r="D23" s="4">
        <f>('[8]Données PAMCHR'!$H$232+'[8]Données PAMCHR'!$H$233+'[8]Données VAR'!$H$105+'[8]Données VAR'!$H$106+'[8]Données VAR'!$H$107)*'[8]Données gestion'!$H$25</f>
        <v>2274407.5520806932</v>
      </c>
      <c r="E23" s="19">
        <f>C23+D23*eurodol</f>
        <v>2956729.8177049011</v>
      </c>
      <c r="F23" s="21">
        <f t="shared" si="0"/>
        <v>0.75307510337851247</v>
      </c>
      <c r="G23" t="s">
        <v>52</v>
      </c>
    </row>
    <row r="24" spans="1:8" x14ac:dyDescent="0.25">
      <c r="A24" s="9"/>
      <c r="C24" s="3"/>
      <c r="D24" s="3"/>
      <c r="E24" s="19"/>
      <c r="F24" s="21"/>
    </row>
    <row r="25" spans="1:8" ht="135" x14ac:dyDescent="0.25">
      <c r="A25" s="5" t="s">
        <v>28</v>
      </c>
      <c r="C25" s="3"/>
      <c r="D25" s="4">
        <f>'[8]Données PAMCHR'!$D$243+'[8]Données PAMCHR'!$H$257+'[8]Données VAR'!$I$75+'[8]Données VAR'!$H$114+'[8]Données VAR'!$H$120+[8]Exploitation!$G$19+'[8]Données gestion'!$I$50-'[8]Données gestion'!$H$115</f>
        <v>5088929.9392318018</v>
      </c>
      <c r="E25" s="19">
        <f>C25+D25*eurodol</f>
        <v>6615608.9210013421</v>
      </c>
      <c r="F25" s="21">
        <f t="shared" si="0"/>
        <v>1.6849866843640473</v>
      </c>
      <c r="G25" s="26" t="s">
        <v>110</v>
      </c>
    </row>
    <row r="26" spans="1:8" x14ac:dyDescent="0.25">
      <c r="A26" s="8"/>
      <c r="C26" s="3"/>
      <c r="D26" s="3"/>
      <c r="E26" s="19"/>
      <c r="F26" s="21"/>
      <c r="H26" s="27"/>
    </row>
    <row r="27" spans="1:8" x14ac:dyDescent="0.25">
      <c r="A27" s="8" t="s">
        <v>7</v>
      </c>
      <c r="C27" s="3"/>
      <c r="D27" s="3"/>
      <c r="E27" s="19"/>
      <c r="F27" s="21"/>
    </row>
    <row r="28" spans="1:8" x14ac:dyDescent="0.25">
      <c r="A28" s="23" t="s">
        <v>8</v>
      </c>
      <c r="B28" s="16">
        <f>[8]Scénario!$F$7+[8]Scénario!$F$10+[8]Scénario!$F$16+[8]Scénario!$F$17</f>
        <v>3848.0196293734093</v>
      </c>
      <c r="C28" s="4">
        <f>([8]Scénario!$F$20+[8]Scénario!$F$23+[8]Scénario!$F$25+[8]Scénario!$F$26)*1000</f>
        <v>36219869.563440152</v>
      </c>
      <c r="D28" s="19">
        <f>C28/eurodol</f>
        <v>27861438.125723194</v>
      </c>
      <c r="E28" s="19">
        <f>C28</f>
        <v>36219869.563440152</v>
      </c>
      <c r="F28" s="21">
        <f t="shared" si="0"/>
        <v>9.2251520083145664</v>
      </c>
      <c r="G28" t="s">
        <v>25</v>
      </c>
    </row>
    <row r="29" spans="1:8" x14ac:dyDescent="0.25">
      <c r="A29" s="23" t="s">
        <v>3</v>
      </c>
      <c r="B29" s="16">
        <f>'[8]Données PAMCHR'!$H$148</f>
        <v>787.0949241900156</v>
      </c>
      <c r="C29" s="4">
        <f>B29*'[8]Données Matières'!$AC$52*1000</f>
        <v>7870949.2419001563</v>
      </c>
      <c r="D29" s="19">
        <f>C29/eurodol</f>
        <v>6054576.3399231965</v>
      </c>
      <c r="E29" s="19">
        <f>C29</f>
        <v>7870949.2419001563</v>
      </c>
      <c r="F29" s="21">
        <f t="shared" si="0"/>
        <v>2.004720173800667</v>
      </c>
      <c r="G29" t="s">
        <v>24</v>
      </c>
    </row>
    <row r="30" spans="1:8" x14ac:dyDescent="0.25">
      <c r="A30" s="23" t="s">
        <v>9</v>
      </c>
      <c r="B30" s="16">
        <f>'[8]Données PAMCHR'!$H$152+'[8]Données PAMCHR'!$H$153</f>
        <v>86.580441660901727</v>
      </c>
      <c r="C30" s="18"/>
      <c r="D30" s="4">
        <f>'[8]Données PAMCHR'!$K$176</f>
        <v>1516810.6284065791</v>
      </c>
      <c r="E30" s="19">
        <f>C30+D30*eurodol</f>
        <v>1971853.8169285529</v>
      </c>
      <c r="F30" s="21">
        <f t="shared" si="0"/>
        <v>0.50222851210106456</v>
      </c>
    </row>
    <row r="31" spans="1:8" x14ac:dyDescent="0.25">
      <c r="A31" s="8"/>
      <c r="C31" s="3"/>
      <c r="D31" s="3"/>
      <c r="E31" s="19"/>
      <c r="F31" s="21"/>
    </row>
    <row r="32" spans="1:8" x14ac:dyDescent="0.25">
      <c r="A32" s="8" t="s">
        <v>17</v>
      </c>
      <c r="C32" s="3"/>
      <c r="D32" s="4">
        <f>'[8]Données PAMCHR'!$K$180</f>
        <v>3848019.6293734093</v>
      </c>
      <c r="E32" s="19">
        <f>C32+D32*eurodol</f>
        <v>5002425.5181854321</v>
      </c>
      <c r="F32" s="21">
        <f t="shared" si="0"/>
        <v>1.2741110437933127</v>
      </c>
      <c r="G32" t="s">
        <v>29</v>
      </c>
    </row>
    <row r="33" spans="1:7" x14ac:dyDescent="0.25">
      <c r="A33" s="8"/>
      <c r="C33" s="3"/>
      <c r="D33" s="3"/>
      <c r="E33" s="19"/>
      <c r="F33" s="21"/>
    </row>
    <row r="34" spans="1:7" x14ac:dyDescent="0.25">
      <c r="A34" s="8" t="s">
        <v>18</v>
      </c>
      <c r="C34" s="3"/>
      <c r="D34" s="4">
        <f>'[8]Données PAMCHR'!$K$181</f>
        <v>461762.35552481143</v>
      </c>
      <c r="E34" s="19">
        <f>C34+D34*eurodol</f>
        <v>600291.06218225486</v>
      </c>
      <c r="F34" s="21">
        <f t="shared" si="0"/>
        <v>0.1528933252551983</v>
      </c>
      <c r="G34" t="s">
        <v>30</v>
      </c>
    </row>
    <row r="35" spans="1:7" x14ac:dyDescent="0.25">
      <c r="A35" s="8"/>
      <c r="C35" s="3"/>
      <c r="D35" s="3"/>
      <c r="E35" s="19"/>
      <c r="F35" s="21"/>
    </row>
    <row r="36" spans="1:7" x14ac:dyDescent="0.25">
      <c r="A36" s="11" t="s">
        <v>10</v>
      </c>
      <c r="C36" s="3"/>
      <c r="D36" s="4">
        <f>[8]Exploitation!$G$41</f>
        <v>8319578.2887718929</v>
      </c>
      <c r="E36" s="19">
        <f>C36+D36*eurodol</f>
        <v>10815451.77540346</v>
      </c>
      <c r="F36" s="21">
        <f t="shared" si="0"/>
        <v>2.7546810043568817</v>
      </c>
      <c r="G36" t="s">
        <v>53</v>
      </c>
    </row>
    <row r="37" spans="1:7" x14ac:dyDescent="0.25">
      <c r="C37" s="3"/>
      <c r="D37" s="3"/>
      <c r="E37" s="19"/>
      <c r="F37" s="21"/>
    </row>
    <row r="38" spans="1:7" x14ac:dyDescent="0.25">
      <c r="A38" s="11" t="s">
        <v>11</v>
      </c>
      <c r="C38" s="3"/>
      <c r="D38" s="4">
        <f>'[8]Données Investissement'!$H$78</f>
        <v>1161200</v>
      </c>
      <c r="E38" s="19">
        <f>C38+D38*eurodol</f>
        <v>1509560</v>
      </c>
      <c r="F38" s="21">
        <f t="shared" si="0"/>
        <v>0.3844828994008298</v>
      </c>
      <c r="G38" t="s">
        <v>26</v>
      </c>
    </row>
    <row r="39" spans="1:7" x14ac:dyDescent="0.25">
      <c r="A39" s="12"/>
      <c r="C39" s="3"/>
      <c r="D39" s="3"/>
      <c r="E39" s="19"/>
      <c r="F39" s="21"/>
    </row>
    <row r="40" spans="1:7" x14ac:dyDescent="0.25">
      <c r="A40" s="12" t="s">
        <v>33</v>
      </c>
      <c r="C40" s="3"/>
      <c r="D40" s="4">
        <f>[8]Exploitation!$G$25-'[8]Données gestion'!$E$70</f>
        <v>1205000.5833333335</v>
      </c>
      <c r="E40" s="19">
        <f>C40+D40*eurodol</f>
        <v>1566500.7583333335</v>
      </c>
      <c r="F40" s="21">
        <f t="shared" si="0"/>
        <v>0.39898563387848024</v>
      </c>
      <c r="G40" t="s">
        <v>32</v>
      </c>
    </row>
    <row r="41" spans="1:7" x14ac:dyDescent="0.25">
      <c r="A41" s="12"/>
      <c r="C41" s="3"/>
      <c r="D41" s="3"/>
      <c r="E41" s="19"/>
      <c r="F41" s="21"/>
    </row>
    <row r="42" spans="1:7" x14ac:dyDescent="0.25">
      <c r="A42" s="11" t="s">
        <v>22</v>
      </c>
      <c r="C42" s="3"/>
      <c r="D42" s="4">
        <f>'[8]Données Investissement'!$N$27*1000*1000</f>
        <v>1250333.3333333333</v>
      </c>
      <c r="E42" s="19">
        <f>C42+D42*eurodol</f>
        <v>1625433.3333333333</v>
      </c>
      <c r="F42" s="21">
        <f t="shared" si="0"/>
        <v>0.41399568137918025</v>
      </c>
      <c r="G42" t="s">
        <v>31</v>
      </c>
    </row>
    <row r="43" spans="1:7" x14ac:dyDescent="0.25">
      <c r="A43" s="11"/>
      <c r="C43" s="3"/>
      <c r="D43" s="3"/>
      <c r="E43" s="19"/>
      <c r="F43" s="21"/>
    </row>
    <row r="44" spans="1:7" x14ac:dyDescent="0.25">
      <c r="A44" s="11" t="s">
        <v>49</v>
      </c>
      <c r="C44" s="3"/>
      <c r="D44" s="4">
        <f>'[8]Données gestion'!$I$86+'[8]Données gestion'!$I$58</f>
        <v>400000</v>
      </c>
      <c r="E44" s="19">
        <f>C44+D44*eurodol</f>
        <v>520000</v>
      </c>
      <c r="F44" s="21">
        <f t="shared" si="0"/>
        <v>0.13244329982805023</v>
      </c>
    </row>
    <row r="45" spans="1:7" x14ac:dyDescent="0.25">
      <c r="A45" s="11"/>
      <c r="C45" s="3"/>
      <c r="D45" s="3"/>
      <c r="E45" s="19"/>
      <c r="F45" s="21"/>
    </row>
    <row r="46" spans="1:7" x14ac:dyDescent="0.25">
      <c r="A46" s="11" t="s">
        <v>12</v>
      </c>
      <c r="C46" s="3"/>
      <c r="D46" s="4">
        <f>'[8]Données gestion'!$H$115</f>
        <v>88750</v>
      </c>
      <c r="E46" s="19">
        <f>C46+D46*eurodol</f>
        <v>115375</v>
      </c>
      <c r="F46" s="21">
        <f t="shared" si="0"/>
        <v>2.9385857149348642E-2</v>
      </c>
    </row>
    <row r="47" spans="1:7" x14ac:dyDescent="0.25">
      <c r="A47" s="11"/>
      <c r="C47" s="3"/>
      <c r="D47" s="3"/>
      <c r="E47" s="19"/>
      <c r="F47" s="21"/>
    </row>
    <row r="48" spans="1:7" x14ac:dyDescent="0.25">
      <c r="A48" s="11" t="s">
        <v>13</v>
      </c>
      <c r="C48" s="3"/>
      <c r="D48" s="4">
        <f>'[8]Données gestion'!$E$70+'[8]Données gestion'!$I$61-'[8]Données gestion'!$I$58</f>
        <v>714973.58700724645</v>
      </c>
      <c r="E48" s="19">
        <f>C48+D48*eurodol</f>
        <v>929465.66310942045</v>
      </c>
      <c r="F48" s="21">
        <f t="shared" si="0"/>
        <v>0.23673365288284323</v>
      </c>
      <c r="G48" t="s">
        <v>34</v>
      </c>
    </row>
    <row r="49" spans="1:7" x14ac:dyDescent="0.25">
      <c r="A49" s="11"/>
      <c r="D49" s="28">
        <f>SUM(D18:D48)-D36</f>
        <v>56111994.103937596</v>
      </c>
      <c r="E49" s="28">
        <f>SUM(E18:E48)-E36</f>
        <v>72945592.335118875</v>
      </c>
      <c r="F49" s="22"/>
    </row>
    <row r="50" spans="1:7" x14ac:dyDescent="0.25">
      <c r="A50" s="11"/>
      <c r="E50" s="20"/>
      <c r="F50" s="22"/>
      <c r="G50" s="22"/>
    </row>
    <row r="51" spans="1:7" x14ac:dyDescent="0.25">
      <c r="A51" s="29" t="s">
        <v>67</v>
      </c>
      <c r="B51" s="30"/>
      <c r="C51" s="30"/>
      <c r="D51" s="30"/>
      <c r="E51" s="30"/>
      <c r="F51" s="31"/>
    </row>
    <row r="52" spans="1:7" x14ac:dyDescent="0.25">
      <c r="A52" s="32" t="s">
        <v>54</v>
      </c>
      <c r="B52" s="33"/>
      <c r="C52" s="33"/>
      <c r="D52" s="33"/>
      <c r="E52" s="33"/>
      <c r="F52" s="34">
        <f>F28+F29+F30+F32+F34</f>
        <v>13.159105063264809</v>
      </c>
      <c r="G52" s="22"/>
    </row>
    <row r="53" spans="1:7" x14ac:dyDescent="0.25">
      <c r="A53" s="32" t="s">
        <v>55</v>
      </c>
      <c r="B53" s="33"/>
      <c r="C53" s="33"/>
      <c r="D53" s="33"/>
      <c r="E53" s="33"/>
      <c r="F53" s="34">
        <f>F19+F23+F25+F38+F46</f>
        <v>3.5054693683615032</v>
      </c>
      <c r="G53" s="22"/>
    </row>
    <row r="54" spans="1:7" x14ac:dyDescent="0.25">
      <c r="A54" s="32" t="s">
        <v>56</v>
      </c>
      <c r="B54" s="33"/>
      <c r="C54" s="33"/>
      <c r="D54" s="33"/>
      <c r="E54" s="33"/>
      <c r="F54" s="34">
        <f>F21+F40+F42+F44+F48</f>
        <v>1.9145697160176716</v>
      </c>
      <c r="G54" s="22"/>
    </row>
    <row r="55" spans="1:7" x14ac:dyDescent="0.25">
      <c r="A55" s="35" t="s">
        <v>57</v>
      </c>
      <c r="B55" s="33"/>
      <c r="C55" s="33"/>
      <c r="D55" s="33"/>
      <c r="E55" s="33"/>
      <c r="F55" s="34">
        <f>SUM(F52:F54)</f>
        <v>18.579144147643984</v>
      </c>
      <c r="G55" s="22"/>
    </row>
    <row r="56" spans="1:7" x14ac:dyDescent="0.25">
      <c r="A56" s="36" t="s">
        <v>58</v>
      </c>
      <c r="B56" s="37"/>
      <c r="C56" s="37"/>
      <c r="D56" s="37"/>
      <c r="E56" s="37"/>
      <c r="F56" s="38">
        <f>F36</f>
        <v>2.7546810043568817</v>
      </c>
    </row>
    <row r="57" spans="1:7" x14ac:dyDescent="0.25">
      <c r="A57" s="11"/>
    </row>
    <row r="58" spans="1:7" x14ac:dyDescent="0.25">
      <c r="A58" s="11" t="s">
        <v>35</v>
      </c>
      <c r="E58" s="2">
        <f>[8]Scénario!$F$2*1000</f>
        <v>77694530.746399999</v>
      </c>
      <c r="F58" s="22">
        <f>E58/F16/1000</f>
        <v>19.788692366625234</v>
      </c>
      <c r="G58" t="s">
        <v>36</v>
      </c>
    </row>
    <row r="59" spans="1:7" x14ac:dyDescent="0.25">
      <c r="A59" s="11"/>
    </row>
    <row r="60" spans="1:7" x14ac:dyDescent="0.25">
      <c r="A60" s="11"/>
    </row>
    <row r="61" spans="1:7" x14ac:dyDescent="0.25">
      <c r="A61" s="11"/>
    </row>
    <row r="62" spans="1:7" x14ac:dyDescent="0.25">
      <c r="A62" s="11"/>
    </row>
    <row r="63" spans="1:7" x14ac:dyDescent="0.25">
      <c r="A63" s="11"/>
    </row>
    <row r="64" spans="1:7" x14ac:dyDescent="0.25">
      <c r="A64" s="11"/>
    </row>
    <row r="65" spans="1:1" x14ac:dyDescent="0.25">
      <c r="A65" s="11"/>
    </row>
    <row r="66" spans="1:1" x14ac:dyDescent="0.25">
      <c r="A66" s="11"/>
    </row>
    <row r="67" spans="1:1" x14ac:dyDescent="0.25">
      <c r="A67" s="11"/>
    </row>
    <row r="68" spans="1:1" x14ac:dyDescent="0.25">
      <c r="A68" s="11"/>
    </row>
    <row r="69" spans="1:1" x14ac:dyDescent="0.25">
      <c r="A69" s="11"/>
    </row>
    <row r="70" spans="1:1" x14ac:dyDescent="0.25">
      <c r="A70" s="11"/>
    </row>
    <row r="71" spans="1:1" x14ac:dyDescent="0.25">
      <c r="A71" s="11"/>
    </row>
    <row r="72" spans="1:1" x14ac:dyDescent="0.25">
      <c r="A72" s="11"/>
    </row>
    <row r="73" spans="1:1" x14ac:dyDescent="0.25">
      <c r="A73" s="11"/>
    </row>
    <row r="74" spans="1:1" x14ac:dyDescent="0.25">
      <c r="A74" s="11"/>
    </row>
    <row r="75" spans="1:1" x14ac:dyDescent="0.25">
      <c r="A75" s="11"/>
    </row>
    <row r="76" spans="1:1" x14ac:dyDescent="0.25">
      <c r="A76" s="11"/>
    </row>
    <row r="77" spans="1:1" x14ac:dyDescent="0.25">
      <c r="A77" s="11"/>
    </row>
    <row r="78" spans="1:1" x14ac:dyDescent="0.25">
      <c r="A78" s="11"/>
    </row>
    <row r="79" spans="1:1" x14ac:dyDescent="0.25">
      <c r="A79" s="11"/>
    </row>
    <row r="80" spans="1:1" x14ac:dyDescent="0.25">
      <c r="A80" s="8"/>
    </row>
    <row r="81" spans="1:1" x14ac:dyDescent="0.25">
      <c r="A81" s="8"/>
    </row>
    <row r="82" spans="1:1" x14ac:dyDescent="0.25">
      <c r="A82" s="8"/>
    </row>
    <row r="83" spans="1:1" x14ac:dyDescent="0.25">
      <c r="A83" s="8"/>
    </row>
    <row r="84" spans="1:1" x14ac:dyDescent="0.25">
      <c r="A84" s="8"/>
    </row>
    <row r="85" spans="1:1" x14ac:dyDescent="0.25">
      <c r="A85" s="8"/>
    </row>
    <row r="86" spans="1:1" x14ac:dyDescent="0.25">
      <c r="A86" s="8"/>
    </row>
    <row r="87" spans="1:1" x14ac:dyDescent="0.25">
      <c r="A87" s="8"/>
    </row>
    <row r="88" spans="1:1" x14ac:dyDescent="0.25">
      <c r="A88" s="8"/>
    </row>
    <row r="89" spans="1:1" x14ac:dyDescent="0.25">
      <c r="A89" s="8"/>
    </row>
    <row r="90" spans="1:1" x14ac:dyDescent="0.25">
      <c r="A90" s="10"/>
    </row>
  </sheetData>
  <mergeCells count="15">
    <mergeCell ref="C16:E16"/>
    <mergeCell ref="A12:A13"/>
    <mergeCell ref="C12:F12"/>
    <mergeCell ref="C13:F13"/>
    <mergeCell ref="A14:A15"/>
    <mergeCell ref="C14:F14"/>
    <mergeCell ref="C15:F15"/>
    <mergeCell ref="C6:F6"/>
    <mergeCell ref="C7:F7"/>
    <mergeCell ref="A8:A9"/>
    <mergeCell ref="C8:F8"/>
    <mergeCell ref="C9:F9"/>
    <mergeCell ref="A10:A11"/>
    <mergeCell ref="C10:F10"/>
    <mergeCell ref="C11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pane ySplit="5" topLeftCell="A6" activePane="bottomLeft" state="frozenSplit"/>
      <selection pane="bottomLeft" activeCell="D2" sqref="D2"/>
    </sheetView>
  </sheetViews>
  <sheetFormatPr baseColWidth="10" defaultRowHeight="15" x14ac:dyDescent="0.25"/>
  <cols>
    <col min="1" max="1" width="20.140625" style="54" customWidth="1"/>
    <col min="2" max="2" width="2.42578125" style="54" customWidth="1"/>
    <col min="3" max="3" width="19.5703125" style="48" customWidth="1"/>
    <col min="4" max="4" width="35.7109375" style="54" customWidth="1"/>
    <col min="5" max="5" width="15.7109375" style="54" customWidth="1"/>
    <col min="6" max="6" width="17" style="54" bestFit="1" customWidth="1"/>
    <col min="7" max="9" width="15.42578125" style="54" customWidth="1"/>
    <col min="10" max="10" width="15.7109375" style="54" customWidth="1"/>
    <col min="11" max="16384" width="11.42578125" style="54"/>
  </cols>
  <sheetData>
    <row r="1" spans="1:10" x14ac:dyDescent="0.25">
      <c r="C1" s="55" t="s">
        <v>2</v>
      </c>
    </row>
    <row r="2" spans="1:10" x14ac:dyDescent="0.25">
      <c r="C2" s="56" t="s">
        <v>59</v>
      </c>
    </row>
    <row r="4" spans="1:10" x14ac:dyDescent="0.25">
      <c r="C4" s="86" t="s">
        <v>37</v>
      </c>
      <c r="D4" s="85">
        <f>'Synthèse SAFRAN'!B4</f>
        <v>1.3</v>
      </c>
      <c r="E4" s="57" t="s">
        <v>4</v>
      </c>
      <c r="F4" s="99" t="s">
        <v>69</v>
      </c>
      <c r="G4" s="100"/>
      <c r="H4" s="100"/>
      <c r="I4" s="100"/>
      <c r="J4" s="101"/>
    </row>
    <row r="5" spans="1:10" s="46" customFormat="1" ht="30" x14ac:dyDescent="0.25">
      <c r="E5" s="102" t="s">
        <v>82</v>
      </c>
      <c r="F5" s="102"/>
      <c r="G5" s="58" t="s">
        <v>83</v>
      </c>
      <c r="H5" s="58" t="s">
        <v>84</v>
      </c>
      <c r="I5" s="58" t="s">
        <v>85</v>
      </c>
      <c r="J5" s="58" t="s">
        <v>86</v>
      </c>
    </row>
    <row r="6" spans="1:10" x14ac:dyDescent="0.25">
      <c r="C6" s="59" t="s">
        <v>70</v>
      </c>
      <c r="D6" s="59" t="s">
        <v>75</v>
      </c>
      <c r="E6" s="60">
        <f>'Base STD'!C8</f>
        <v>883.18024999999989</v>
      </c>
      <c r="F6" s="60">
        <f>'Base 2 VAR'!C8</f>
        <v>883.18024999999989</v>
      </c>
      <c r="G6" s="60">
        <f>'Base 2 VAR M à 1 C a 0,6 $kg'!C8</f>
        <v>1743.2776593511448</v>
      </c>
      <c r="H6" s="60">
        <f>'Base 2 VAR 100 % C a 0,6 $kg'!C8</f>
        <v>0</v>
      </c>
      <c r="I6" s="60">
        <f>'Base 2 VAR M à 38% C a 20%'!C8</f>
        <v>0</v>
      </c>
      <c r="J6" s="60">
        <f>'Base 2 VAR 100 % C à 20%'!C8</f>
        <v>0</v>
      </c>
    </row>
    <row r="7" spans="1:10" x14ac:dyDescent="0.25">
      <c r="C7" s="59"/>
      <c r="D7" s="59" t="s">
        <v>74</v>
      </c>
      <c r="E7" s="61">
        <f>'Base STD'!C9</f>
        <v>1</v>
      </c>
      <c r="F7" s="61">
        <f>'Base 2 VAR'!C9</f>
        <v>1</v>
      </c>
      <c r="G7" s="61">
        <f>'Base 2 VAR M à 1 C a 0,6 $kg'!C9</f>
        <v>1</v>
      </c>
      <c r="H7" s="61">
        <f>'Base 2 VAR 100 % C a 0,6 $kg'!C9</f>
        <v>0</v>
      </c>
      <c r="I7" s="61">
        <f>'Base 2 VAR M à 38% C a 20%'!C9</f>
        <v>0</v>
      </c>
      <c r="J7" s="61">
        <f>'Base 2 VAR 100 % C à 20%'!C9</f>
        <v>0</v>
      </c>
    </row>
    <row r="8" spans="1:10" x14ac:dyDescent="0.25">
      <c r="C8" s="59" t="s">
        <v>71</v>
      </c>
      <c r="D8" s="59" t="s">
        <v>75</v>
      </c>
      <c r="E8" s="60">
        <f>'Base STD'!C10</f>
        <v>860.09740935114507</v>
      </c>
      <c r="F8" s="60">
        <f>'Base 2 VAR'!C10</f>
        <v>860.09740935114507</v>
      </c>
      <c r="G8" s="60">
        <f>'Base 2 VAR M à 1 C a 0,6 $kg'!C10</f>
        <v>0</v>
      </c>
      <c r="H8" s="60">
        <f>'Base 2 VAR 100 % C a 0,6 $kg'!C10</f>
        <v>0</v>
      </c>
      <c r="I8" s="60">
        <f>'Base 2 VAR M à 38% C a 20%'!C10</f>
        <v>1743.2776593511448</v>
      </c>
      <c r="J8" s="60">
        <f>'Base 2 VAR 100 % C à 20%'!C10</f>
        <v>0</v>
      </c>
    </row>
    <row r="9" spans="1:10" x14ac:dyDescent="0.25">
      <c r="C9" s="59"/>
      <c r="D9" s="59" t="s">
        <v>74</v>
      </c>
      <c r="E9" s="62">
        <f>'Base STD'!C11</f>
        <v>9.4125999999999994</v>
      </c>
      <c r="F9" s="62">
        <f>'Base 2 VAR'!C11</f>
        <v>9.4125999999999994</v>
      </c>
      <c r="G9" s="62">
        <f>'Base 2 VAR M à 1 C a 0,6 $kg'!C11</f>
        <v>0</v>
      </c>
      <c r="H9" s="62">
        <f>'Base 2 VAR 100 % C a 0,6 $kg'!C11</f>
        <v>0</v>
      </c>
      <c r="I9" s="62">
        <f>'Base 2 VAR M à 38% C a 20%'!C11</f>
        <v>9.4125999999999994</v>
      </c>
      <c r="J9" s="62">
        <f>'Base 2 VAR 100 % C à 20%'!C11</f>
        <v>0</v>
      </c>
    </row>
    <row r="10" spans="1:10" x14ac:dyDescent="0.25">
      <c r="C10" s="59" t="s">
        <v>72</v>
      </c>
      <c r="D10" s="59" t="s">
        <v>75</v>
      </c>
      <c r="E10" s="60">
        <f>'Base STD'!C12</f>
        <v>1235.5442499999999</v>
      </c>
      <c r="F10" s="60">
        <f>'Base 2 VAR'!C12</f>
        <v>1235.5442499999999</v>
      </c>
      <c r="G10" s="60">
        <f>'Base 2 VAR M à 1 C a 0,6 $kg'!C12</f>
        <v>2525.6903640267174</v>
      </c>
      <c r="H10" s="60">
        <f>'Base 2 VAR 100 % C a 0,6 $kg'!C12</f>
        <v>4617.6235552480921</v>
      </c>
      <c r="I10" s="60">
        <f>'Base 2 VAR M à 38% C a 20%'!C12</f>
        <v>0</v>
      </c>
      <c r="J10" s="60">
        <f>'Base 2 VAR 100 % C à 20%'!C12</f>
        <v>0</v>
      </c>
    </row>
    <row r="11" spans="1:10" ht="15.75" customHeight="1" x14ac:dyDescent="0.25">
      <c r="C11" s="59"/>
      <c r="D11" s="59" t="s">
        <v>74</v>
      </c>
      <c r="E11" s="61">
        <f>'Base STD'!C13</f>
        <v>0.60000000000000009</v>
      </c>
      <c r="F11" s="61">
        <f>'Base 2 VAR'!C13</f>
        <v>0.60000000000000009</v>
      </c>
      <c r="G11" s="61">
        <f>'Base 2 VAR M à 1 C a 0,6 $kg'!C13</f>
        <v>0.6</v>
      </c>
      <c r="H11" s="61">
        <f>'Base 2 VAR 100 % C a 0,6 $kg'!C13</f>
        <v>0.6</v>
      </c>
      <c r="I11" s="61">
        <f>'Base 2 VAR M à 38% C a 20%'!C13</f>
        <v>0</v>
      </c>
      <c r="J11" s="61">
        <f>'Base 2 VAR 100 % C à 20%'!C13</f>
        <v>0</v>
      </c>
    </row>
    <row r="12" spans="1:10" x14ac:dyDescent="0.25">
      <c r="C12" s="59" t="s">
        <v>100</v>
      </c>
      <c r="D12" s="59" t="s">
        <v>75</v>
      </c>
      <c r="E12" s="60">
        <f>'Base STD'!C14</f>
        <v>1290.1461140267174</v>
      </c>
      <c r="F12" s="60">
        <f>'Base 2 VAR'!C14</f>
        <v>1290.1461140267174</v>
      </c>
      <c r="G12" s="60">
        <f>'Base 2 VAR M à 1 C a 0,6 $kg'!C14</f>
        <v>0</v>
      </c>
      <c r="H12" s="60">
        <f>'Base 2 VAR 100 % C a 0,6 $kg'!C14</f>
        <v>0</v>
      </c>
      <c r="I12" s="60">
        <f>'Base 2 VAR M à 38% C a 20%'!C14</f>
        <v>2525.6903640267174</v>
      </c>
      <c r="J12" s="60">
        <f>'Base 2 VAR 100 % C à 20%'!C14</f>
        <v>4617.6235552480921</v>
      </c>
    </row>
    <row r="13" spans="1:10" x14ac:dyDescent="0.25">
      <c r="C13" s="59"/>
      <c r="D13" s="59" t="s">
        <v>74</v>
      </c>
      <c r="E13" s="62">
        <f>'Base STD'!C15</f>
        <v>4.9540000000000006</v>
      </c>
      <c r="F13" s="62">
        <f>'Base 2 VAR'!C15</f>
        <v>4.9540000000000006</v>
      </c>
      <c r="G13" s="62">
        <f>'Base 2 VAR M à 1 C a 0,6 $kg'!C15</f>
        <v>0</v>
      </c>
      <c r="H13" s="62">
        <f>'Base 2 VAR 100 % C a 0,6 $kg'!C15</f>
        <v>0</v>
      </c>
      <c r="I13" s="62">
        <f>'Base 2 VAR M à 38% C a 20%'!C15</f>
        <v>4.9540000000000006</v>
      </c>
      <c r="J13" s="62">
        <f>'Base 2 VAR 100 % C à 20%'!C15</f>
        <v>4.9540000000000006</v>
      </c>
    </row>
    <row r="14" spans="1:10" x14ac:dyDescent="0.25">
      <c r="C14" s="59"/>
      <c r="D14" s="63" t="s">
        <v>103</v>
      </c>
      <c r="E14" s="49">
        <f>'Base STD'!F16</f>
        <v>4033.8877535871325</v>
      </c>
      <c r="F14" s="49">
        <f>'Base 2 VAR'!F16</f>
        <v>3926.2084278714792</v>
      </c>
      <c r="G14" s="49">
        <f>'Base 2 VAR M à 1 C a 0,6 $kg'!F16</f>
        <v>3926.2084278714792</v>
      </c>
      <c r="H14" s="49">
        <f>'Base 2 VAR 100 % C a 0,6 $kg'!F16</f>
        <v>3926.2084278714792</v>
      </c>
      <c r="I14" s="49">
        <f>'Base 2 VAR M à 38% C a 20%'!F16</f>
        <v>3926.2084278714792</v>
      </c>
      <c r="J14" s="49">
        <f>'Base 2 VAR 100 % C à 20%'!F16</f>
        <v>3926.2084278714792</v>
      </c>
    </row>
    <row r="15" spans="1:10" x14ac:dyDescent="0.25">
      <c r="E15" s="47"/>
      <c r="F15" s="47"/>
      <c r="G15" s="47"/>
      <c r="H15" s="47"/>
      <c r="I15" s="47"/>
      <c r="J15" s="47"/>
    </row>
    <row r="16" spans="1:10" ht="29.25" customHeight="1" x14ac:dyDescent="0.25">
      <c r="A16" s="104" t="s">
        <v>88</v>
      </c>
      <c r="B16" s="64"/>
      <c r="C16" s="108" t="s">
        <v>7</v>
      </c>
      <c r="D16" s="109"/>
      <c r="E16" s="109"/>
      <c r="F16" s="109"/>
      <c r="G16" s="109"/>
      <c r="H16" s="109"/>
      <c r="I16" s="109"/>
      <c r="J16" s="110"/>
    </row>
    <row r="17" spans="1:10" ht="29.25" customHeight="1" x14ac:dyDescent="0.25">
      <c r="A17" s="104"/>
      <c r="B17" s="64"/>
      <c r="C17" s="111" t="s">
        <v>97</v>
      </c>
      <c r="D17" s="111"/>
      <c r="E17" s="51">
        <f>'Base STD'!F28</f>
        <v>3.9940733377669413</v>
      </c>
      <c r="F17" s="51">
        <f>'Base 2 VAR'!F28</f>
        <v>4.1036139115216494</v>
      </c>
      <c r="G17" s="51">
        <f>'Base 2 VAR M à 1 C a 0,6 $kg'!F28</f>
        <v>0.82998443348913453</v>
      </c>
      <c r="H17" s="51">
        <f>'Base 2 VAR 100 % C a 0,6 $kg'!F28</f>
        <v>0.70566150117783488</v>
      </c>
      <c r="I17" s="51">
        <f>'Base 2 VAR M à 38% C a 20%'!F28</f>
        <v>7.3661513114004373</v>
      </c>
      <c r="J17" s="51">
        <f>'Base 2 VAR 100 % C à 20%'!F28</f>
        <v>5.8264117947249918</v>
      </c>
    </row>
    <row r="18" spans="1:10" ht="29.25" customHeight="1" x14ac:dyDescent="0.25">
      <c r="A18" s="104"/>
      <c r="B18" s="64"/>
      <c r="C18" s="111" t="s">
        <v>3</v>
      </c>
      <c r="D18" s="111"/>
      <c r="E18" s="51">
        <f>'Base STD'!F29</f>
        <v>1.9512068066100547</v>
      </c>
      <c r="F18" s="51">
        <f>'Base 2 VAR'!F29</f>
        <v>2.004720173800667</v>
      </c>
      <c r="G18" s="51">
        <f>'Base 2 VAR M à 1 C a 0,6 $kg'!F29</f>
        <v>2.004720173800667</v>
      </c>
      <c r="H18" s="51">
        <f>'Base 2 VAR 100 % C a 0,6 $kg'!F29</f>
        <v>2.004720173800667</v>
      </c>
      <c r="I18" s="51">
        <f>'Base 2 VAR M à 38% C a 20%'!F29</f>
        <v>2.004720173800667</v>
      </c>
      <c r="J18" s="51">
        <f>'Base 2 VAR 100 % C à 20%'!F29</f>
        <v>2.004720173800667</v>
      </c>
    </row>
    <row r="19" spans="1:10" ht="29.25" customHeight="1" x14ac:dyDescent="0.25">
      <c r="A19" s="104"/>
      <c r="B19" s="64"/>
      <c r="C19" s="111" t="s">
        <v>9</v>
      </c>
      <c r="D19" s="111"/>
      <c r="E19" s="51">
        <f>'Base STD'!F30</f>
        <v>0.48882218281237078</v>
      </c>
      <c r="F19" s="51">
        <f>'Base 2 VAR'!F30</f>
        <v>0.50222851210106456</v>
      </c>
      <c r="G19" s="51">
        <f>'Base 2 VAR M à 1 C a 0,6 $kg'!F30</f>
        <v>0.50222851210106456</v>
      </c>
      <c r="H19" s="51">
        <f>'Base 2 VAR 100 % C a 0,6 $kg'!F30</f>
        <v>0.50222851210106456</v>
      </c>
      <c r="I19" s="51">
        <f>'Base 2 VAR M à 38% C a 20%'!F30</f>
        <v>0.50222851210106456</v>
      </c>
      <c r="J19" s="51">
        <f>'Base 2 VAR 100 % C à 20%'!F30</f>
        <v>0.50222851210106456</v>
      </c>
    </row>
    <row r="20" spans="1:10" ht="29.25" customHeight="1" x14ac:dyDescent="0.25">
      <c r="A20" s="104"/>
      <c r="B20" s="64"/>
      <c r="C20" s="103" t="s">
        <v>17</v>
      </c>
      <c r="D20" s="103"/>
      <c r="E20" s="51">
        <f>'Base STD'!F32</f>
        <v>1.8861175256424429</v>
      </c>
      <c r="F20" s="51">
        <f>'Base 2 VAR'!F32</f>
        <v>1.9378457685803143</v>
      </c>
      <c r="G20" s="51">
        <f>'Base 2 VAR M à 1 C a 0,6 $kg'!F32</f>
        <v>1.9378457685803143</v>
      </c>
      <c r="H20" s="51">
        <f>'Base 2 VAR 100 % C a 0,6 $kg'!F32</f>
        <v>2.4875919768742092</v>
      </c>
      <c r="I20" s="51">
        <f>'Base 2 VAR M à 38% C a 20%'!F32</f>
        <v>1.9378457685803143</v>
      </c>
      <c r="J20" s="51">
        <f>'Base 2 VAR 100 % C à 20%'!F32</f>
        <v>2.4875919768742092</v>
      </c>
    </row>
    <row r="21" spans="1:10" ht="29.25" customHeight="1" x14ac:dyDescent="0.25">
      <c r="A21" s="104"/>
      <c r="B21" s="64"/>
      <c r="C21" s="103" t="s">
        <v>18</v>
      </c>
      <c r="D21" s="103"/>
      <c r="E21" s="51">
        <f>'Base STD'!F34</f>
        <v>0.25055623955768602</v>
      </c>
      <c r="F21" s="51">
        <f>'Base 2 VAR'!F34</f>
        <v>0.25742793967882499</v>
      </c>
      <c r="G21" s="51">
        <f>'Base 2 VAR M à 1 C a 0,6 $kg'!F34</f>
        <v>0.2574279396788256</v>
      </c>
      <c r="H21" s="51">
        <f>'Base 2 VAR 100 % C a 0,6 $kg'!F34</f>
        <v>0.34400998182419407</v>
      </c>
      <c r="I21" s="51">
        <f>'Base 2 VAR M à 38% C a 20%'!F34</f>
        <v>0.25742793967882527</v>
      </c>
      <c r="J21" s="51">
        <f>'Base 2 VAR 100 % C à 20%'!F34</f>
        <v>0.34400998182419473</v>
      </c>
    </row>
    <row r="22" spans="1:10" ht="29.25" customHeight="1" x14ac:dyDescent="0.25">
      <c r="A22" s="64"/>
      <c r="B22" s="64"/>
      <c r="C22" s="64"/>
      <c r="D22" s="64"/>
      <c r="E22" s="64"/>
      <c r="F22" s="64"/>
      <c r="G22" s="64"/>
      <c r="H22" s="65"/>
      <c r="I22" s="65"/>
      <c r="J22" s="65"/>
    </row>
    <row r="23" spans="1:10" ht="29.25" customHeight="1" x14ac:dyDescent="0.25">
      <c r="A23" s="105" t="s">
        <v>89</v>
      </c>
      <c r="B23" s="64"/>
      <c r="C23" s="103" t="s">
        <v>99</v>
      </c>
      <c r="D23" s="103"/>
      <c r="E23" s="51">
        <f>'Base STD'!F19</f>
        <v>0.57118596866040228</v>
      </c>
      <c r="F23" s="51">
        <f>'Base 2 VAR'!F19</f>
        <v>0.65353882406876485</v>
      </c>
      <c r="G23" s="51">
        <f>'Base 2 VAR M à 1 C a 0,6 $kg'!F19</f>
        <v>0.65353882406876485</v>
      </c>
      <c r="H23" s="51">
        <f>'Base 2 VAR 100 % C a 0,6 $kg'!F19</f>
        <v>0.65353882406876485</v>
      </c>
      <c r="I23" s="51">
        <f>'Base 2 VAR M à 38% C a 20%'!F19</f>
        <v>0.65353882406876485</v>
      </c>
      <c r="J23" s="51">
        <f>'Base 2 VAR 100 % C à 20%'!F19</f>
        <v>0.65353882406876485</v>
      </c>
    </row>
    <row r="24" spans="1:10" ht="29.25" customHeight="1" x14ac:dyDescent="0.25">
      <c r="A24" s="106"/>
      <c r="B24" s="64"/>
      <c r="C24" s="117" t="s">
        <v>94</v>
      </c>
      <c r="D24" s="117"/>
      <c r="E24" s="51">
        <f>'Base STD'!F25</f>
        <v>0.94105567290725556</v>
      </c>
      <c r="F24" s="51">
        <f>'Base 2 VAR'!F25</f>
        <v>1.0182769752564309</v>
      </c>
      <c r="G24" s="51">
        <f>'Base 2 VAR M à 1 C a 0,6 $kg'!F25</f>
        <v>1.0182769752564309</v>
      </c>
      <c r="H24" s="51">
        <f>'Base 2 VAR 100 % C a 0,6 $kg'!F25</f>
        <v>0.46606670068889661</v>
      </c>
      <c r="I24" s="51">
        <f>'Base 2 VAR M à 38% C a 20%'!F25</f>
        <v>1.0182769752564309</v>
      </c>
      <c r="J24" s="51">
        <f>'Base 2 VAR 100 % C à 20%'!F25</f>
        <v>0.46606670068889661</v>
      </c>
    </row>
    <row r="25" spans="1:10" ht="29.25" customHeight="1" x14ac:dyDescent="0.25">
      <c r="A25" s="106"/>
      <c r="B25" s="64"/>
      <c r="C25" s="103" t="s">
        <v>98</v>
      </c>
      <c r="D25" s="103"/>
      <c r="E25" s="51">
        <f>'Base STD'!F23</f>
        <v>0.6443629816740849</v>
      </c>
      <c r="F25" s="51">
        <f>'Base 2 VAR'!F23</f>
        <v>0.75307510337851247</v>
      </c>
      <c r="G25" s="51">
        <f>'Base 2 VAR M à 1 C a 0,6 $kg'!F23</f>
        <v>0.75307510337851247</v>
      </c>
      <c r="H25" s="51">
        <f>'Base 2 VAR 100 % C a 0,6 $kg'!F23</f>
        <v>0.75307510337851247</v>
      </c>
      <c r="I25" s="51">
        <f>'Base 2 VAR M à 38% C a 20%'!F23</f>
        <v>0.75307510337851247</v>
      </c>
      <c r="J25" s="51">
        <f>'Base 2 VAR 100 % C à 20%'!F23</f>
        <v>0.75307510337851247</v>
      </c>
    </row>
    <row r="26" spans="1:10" ht="29.25" customHeight="1" x14ac:dyDescent="0.25">
      <c r="A26" s="106"/>
      <c r="B26" s="64"/>
      <c r="C26" s="118" t="s">
        <v>93</v>
      </c>
      <c r="D26" s="118"/>
      <c r="E26" s="51">
        <f>'Base STD'!F46</f>
        <v>2.2881152287373953E-2</v>
      </c>
      <c r="F26" s="51">
        <f>'Base 2 VAR'!F46</f>
        <v>2.9385857149348642E-2</v>
      </c>
      <c r="G26" s="51">
        <f>'Base 2 VAR M à 1 C a 0,6 $kg'!F46</f>
        <v>2.9385857149348642E-2</v>
      </c>
      <c r="H26" s="51">
        <f>'Base 2 VAR 100 % C a 0,6 $kg'!F46</f>
        <v>2.9385857149348642E-2</v>
      </c>
      <c r="I26" s="51">
        <f>'Base 2 VAR M à 38% C a 20%'!F46</f>
        <v>2.9385857149348642E-2</v>
      </c>
      <c r="J26" s="51">
        <f>'Base 2 VAR 100 % C à 20%'!F46</f>
        <v>2.9385857149348642E-2</v>
      </c>
    </row>
    <row r="27" spans="1:10" ht="29.25" customHeight="1" x14ac:dyDescent="0.25">
      <c r="A27" s="107"/>
      <c r="B27" s="64"/>
      <c r="C27" s="118" t="s">
        <v>92</v>
      </c>
      <c r="D27" s="118"/>
      <c r="E27" s="51">
        <f>'Base STD'!F38</f>
        <v>0.28066472573343626</v>
      </c>
      <c r="F27" s="51">
        <f>'Base 2 VAR'!F38</f>
        <v>0.3844828994008298</v>
      </c>
      <c r="G27" s="51">
        <f>'Base 2 VAR M à 1 C a 0,6 $kg'!F38</f>
        <v>0.3844828994008298</v>
      </c>
      <c r="H27" s="51">
        <f>'Base 2 VAR 100 % C a 0,6 $kg'!F38</f>
        <v>0.3844828994008298</v>
      </c>
      <c r="I27" s="51">
        <f>'Base 2 VAR M à 38% C a 20%'!F38</f>
        <v>0.3844828994008298</v>
      </c>
      <c r="J27" s="51">
        <f>'Base 2 VAR 100 % C à 20%'!F38</f>
        <v>0.3844828994008298</v>
      </c>
    </row>
    <row r="28" spans="1:10" ht="29.25" customHeight="1" x14ac:dyDescent="0.25">
      <c r="A28" s="64"/>
      <c r="B28" s="64"/>
      <c r="C28" s="66"/>
      <c r="D28" s="64"/>
      <c r="E28" s="65"/>
      <c r="F28" s="65"/>
      <c r="G28" s="65"/>
      <c r="H28" s="65"/>
      <c r="I28" s="65"/>
      <c r="J28" s="65"/>
    </row>
    <row r="29" spans="1:10" ht="29.25" customHeight="1" x14ac:dyDescent="0.25">
      <c r="A29" s="102" t="s">
        <v>90</v>
      </c>
      <c r="B29" s="64"/>
      <c r="C29" s="119" t="s">
        <v>95</v>
      </c>
      <c r="D29" s="119"/>
      <c r="E29" s="51">
        <f>'Base STD'!F40</f>
        <v>0.38833523737499231</v>
      </c>
      <c r="F29" s="51">
        <f>'Base 2 VAR'!F40</f>
        <v>0.39898563387848024</v>
      </c>
      <c r="G29" s="51">
        <f>'Base 2 VAR M à 1 C a 0,6 $kg'!F40</f>
        <v>0.39898563387848024</v>
      </c>
      <c r="H29" s="51">
        <f>'Base 2 VAR 100 % C a 0,6 $kg'!F40</f>
        <v>0.39898563387848024</v>
      </c>
      <c r="I29" s="51">
        <f>'Base 2 VAR M à 38% C a 20%'!F40</f>
        <v>0.39898563387848024</v>
      </c>
      <c r="J29" s="51">
        <f>'Base 2 VAR 100 % C à 20%'!F40</f>
        <v>0.39898563387848024</v>
      </c>
    </row>
    <row r="30" spans="1:10" ht="29.25" customHeight="1" x14ac:dyDescent="0.25">
      <c r="A30" s="102"/>
      <c r="B30" s="64"/>
      <c r="C30" s="120" t="s">
        <v>96</v>
      </c>
      <c r="D30" s="120"/>
      <c r="E30" s="51">
        <f>'Base STD'!F48</f>
        <v>0.23026614653122915</v>
      </c>
      <c r="F30" s="51">
        <f>'Base 2 VAR'!F48</f>
        <v>0.23673365288284323</v>
      </c>
      <c r="G30" s="51">
        <f>'Base 2 VAR M à 1 C a 0,6 $kg'!F48</f>
        <v>0.23673365288284323</v>
      </c>
      <c r="H30" s="51">
        <f>'Base 2 VAR 100 % C a 0,6 $kg'!F48</f>
        <v>0.23673365288284323</v>
      </c>
      <c r="I30" s="51">
        <f>'Base 2 VAR M à 38% C a 20%'!F48</f>
        <v>0.23673365288284323</v>
      </c>
      <c r="J30" s="51">
        <f>'Base 2 VAR 100 % C à 20%'!F48</f>
        <v>0.23673365288284323</v>
      </c>
    </row>
    <row r="31" spans="1:10" ht="29.25" customHeight="1" x14ac:dyDescent="0.25">
      <c r="A31" s="102"/>
      <c r="B31" s="64"/>
      <c r="C31" s="118" t="s">
        <v>91</v>
      </c>
      <c r="D31" s="118"/>
      <c r="E31" s="51">
        <f>'Base STD'!F44</f>
        <v>0.12890790021055751</v>
      </c>
      <c r="F31" s="51">
        <f>'Base 2 VAR'!F44</f>
        <v>0.13244329982805023</v>
      </c>
      <c r="G31" s="51">
        <f>'Base 2 VAR M à 1 C a 0,6 $kg'!F44</f>
        <v>0.13244329982805023</v>
      </c>
      <c r="H31" s="51">
        <f>'Base 2 VAR 100 % C a 0,6 $kg'!F44</f>
        <v>0.13244329982805023</v>
      </c>
      <c r="I31" s="51">
        <f>'Base 2 VAR M à 38% C a 20%'!F44</f>
        <v>0.13244329982805023</v>
      </c>
      <c r="J31" s="51">
        <f>'Base 2 VAR 100 % C à 20%'!F44</f>
        <v>0.13244329982805023</v>
      </c>
    </row>
    <row r="32" spans="1:10" ht="29.25" customHeight="1" x14ac:dyDescent="0.25">
      <c r="A32" s="102"/>
      <c r="B32" s="64"/>
      <c r="C32" s="103" t="s">
        <v>87</v>
      </c>
      <c r="D32" s="103"/>
      <c r="E32" s="51">
        <f>'Base STD'!F42+'Base STD'!F21</f>
        <v>1.1158052995725505</v>
      </c>
      <c r="F32" s="51">
        <f>'Base 2 VAR'!F42+'Base 2 VAR'!F21</f>
        <v>1.1464071294282978</v>
      </c>
      <c r="G32" s="51">
        <f>'Base 2 VAR M à 1 C a 0,6 $kg'!F42+'Base 2 VAR M à 1 C a 0,6 $kg'!F21</f>
        <v>1.1464071294282978</v>
      </c>
      <c r="H32" s="51">
        <f>'Base 2 VAR 100 % C a 0,6 $kg'!F42+'Base 2 VAR 100 % C a 0,6 $kg'!F21</f>
        <v>1.1464071294282978</v>
      </c>
      <c r="I32" s="51">
        <f>'Base 2 VAR M à 38% C a 20%'!F42+'Base 2 VAR M à 38% C a 20%'!F21</f>
        <v>1.1464071294282978</v>
      </c>
      <c r="J32" s="51">
        <f>'Base 2 VAR 100 % C à 20%'!F42+'Base 2 VAR 100 % C à 20%'!F21</f>
        <v>1.1464071294282978</v>
      </c>
    </row>
    <row r="33" spans="1:10" x14ac:dyDescent="0.25">
      <c r="A33" s="64"/>
      <c r="B33" s="64"/>
      <c r="C33" s="67"/>
      <c r="D33" s="64"/>
      <c r="E33" s="47"/>
      <c r="F33" s="47"/>
      <c r="G33" s="47"/>
      <c r="H33" s="47"/>
      <c r="I33" s="47"/>
      <c r="J33" s="47"/>
    </row>
    <row r="34" spans="1:10" x14ac:dyDescent="0.25">
      <c r="A34" s="64"/>
      <c r="B34" s="64"/>
      <c r="C34" s="112" t="s">
        <v>66</v>
      </c>
      <c r="D34" s="113"/>
      <c r="E34" s="113"/>
      <c r="F34" s="113"/>
      <c r="G34" s="113"/>
      <c r="H34" s="113"/>
      <c r="I34" s="113"/>
      <c r="J34" s="114"/>
    </row>
    <row r="35" spans="1:10" x14ac:dyDescent="0.25">
      <c r="A35" s="64"/>
      <c r="B35" s="64"/>
      <c r="C35" s="115" t="s">
        <v>54</v>
      </c>
      <c r="D35" s="116"/>
      <c r="E35" s="50">
        <f>SUM(E17:E21)</f>
        <v>8.5707760923894938</v>
      </c>
      <c r="F35" s="50">
        <f t="shared" ref="F35:J35" si="0">SUM(F17:F21)</f>
        <v>8.8058363056825204</v>
      </c>
      <c r="G35" s="50">
        <f t="shared" si="0"/>
        <v>5.5322068276500058</v>
      </c>
      <c r="H35" s="50">
        <f t="shared" si="0"/>
        <v>6.0442121457779701</v>
      </c>
      <c r="I35" s="50">
        <f t="shared" si="0"/>
        <v>12.068373705561308</v>
      </c>
      <c r="J35" s="50">
        <f t="shared" si="0"/>
        <v>11.164962439325128</v>
      </c>
    </row>
    <row r="36" spans="1:10" x14ac:dyDescent="0.25">
      <c r="A36" s="64"/>
      <c r="B36" s="64"/>
      <c r="C36" s="121" t="s">
        <v>55</v>
      </c>
      <c r="D36" s="121"/>
      <c r="E36" s="50">
        <f>SUM(E23:E27)</f>
        <v>2.4601505012625529</v>
      </c>
      <c r="F36" s="50">
        <f t="shared" ref="F36:J36" si="1">SUM(F23:F27)</f>
        <v>2.8387596592538866</v>
      </c>
      <c r="G36" s="50">
        <f t="shared" si="1"/>
        <v>2.8387596592538866</v>
      </c>
      <c r="H36" s="50">
        <f t="shared" si="1"/>
        <v>2.2865493846863525</v>
      </c>
      <c r="I36" s="50">
        <f t="shared" si="1"/>
        <v>2.8387596592538866</v>
      </c>
      <c r="J36" s="50">
        <f t="shared" si="1"/>
        <v>2.2865493846863525</v>
      </c>
    </row>
    <row r="37" spans="1:10" x14ac:dyDescent="0.25">
      <c r="A37" s="64"/>
      <c r="B37" s="64"/>
      <c r="C37" s="121" t="s">
        <v>56</v>
      </c>
      <c r="D37" s="121"/>
      <c r="E37" s="50">
        <f>SUM(E29:E32)</f>
        <v>1.8633145836893295</v>
      </c>
      <c r="F37" s="50">
        <f t="shared" ref="F37:J37" si="2">SUM(F29:F32)</f>
        <v>1.9145697160176716</v>
      </c>
      <c r="G37" s="50">
        <f t="shared" si="2"/>
        <v>1.9145697160176716</v>
      </c>
      <c r="H37" s="50">
        <f t="shared" si="2"/>
        <v>1.9145697160176716</v>
      </c>
      <c r="I37" s="50">
        <f t="shared" si="2"/>
        <v>1.9145697160176716</v>
      </c>
      <c r="J37" s="50">
        <f t="shared" si="2"/>
        <v>1.9145697160176716</v>
      </c>
    </row>
    <row r="38" spans="1:10" x14ac:dyDescent="0.25">
      <c r="A38" s="64"/>
      <c r="B38" s="64"/>
      <c r="C38" s="122" t="s">
        <v>57</v>
      </c>
      <c r="D38" s="122"/>
      <c r="E38" s="53">
        <f>SUM(E35:E37)</f>
        <v>12.894241177341376</v>
      </c>
      <c r="F38" s="53">
        <f t="shared" ref="F38:J38" si="3">SUM(F35:F37)</f>
        <v>13.559165680954079</v>
      </c>
      <c r="G38" s="53">
        <f t="shared" si="3"/>
        <v>10.285536202921564</v>
      </c>
      <c r="H38" s="53">
        <f t="shared" si="3"/>
        <v>10.245331246481994</v>
      </c>
      <c r="I38" s="53">
        <f t="shared" si="3"/>
        <v>16.821703080832865</v>
      </c>
      <c r="J38" s="53">
        <f t="shared" si="3"/>
        <v>15.366081540029153</v>
      </c>
    </row>
    <row r="39" spans="1:10" x14ac:dyDescent="0.25">
      <c r="A39" s="64"/>
      <c r="B39" s="64"/>
      <c r="C39" s="123" t="s">
        <v>102</v>
      </c>
      <c r="D39" s="123"/>
      <c r="E39" s="50">
        <f>'Base STD'!F58</f>
        <v>19.26045926223658</v>
      </c>
      <c r="F39" s="50">
        <f>'Base 2 VAR'!F58</f>
        <v>19.788692366625234</v>
      </c>
      <c r="G39" s="50">
        <f>'Base 2 VAR M à 1 C a 0,6 $kg'!F58</f>
        <v>19.788692366625234</v>
      </c>
      <c r="H39" s="50">
        <f>'Base 2 VAR 100 % C a 0,6 $kg'!F58</f>
        <v>19.788692366625234</v>
      </c>
      <c r="I39" s="50">
        <f>'Base 2 VAR M à 38% C a 20%'!F58</f>
        <v>19.788692366625234</v>
      </c>
      <c r="J39" s="50">
        <f>'Base 2 VAR 100 % C à 20%'!F58</f>
        <v>19.788692366625234</v>
      </c>
    </row>
    <row r="40" spans="1:10" x14ac:dyDescent="0.25">
      <c r="A40" s="64"/>
      <c r="B40" s="64"/>
      <c r="C40" s="67"/>
      <c r="D40" s="67"/>
      <c r="E40" s="52"/>
      <c r="F40" s="52"/>
      <c r="G40" s="52"/>
      <c r="H40" s="52"/>
      <c r="I40" s="52"/>
      <c r="J40" s="52"/>
    </row>
    <row r="41" spans="1:10" x14ac:dyDescent="0.25">
      <c r="A41" s="64"/>
      <c r="B41" s="64"/>
      <c r="C41" s="121" t="s">
        <v>101</v>
      </c>
      <c r="D41" s="121"/>
      <c r="E41" s="50">
        <f>'Base STD'!F56</f>
        <v>1.5867114744451414</v>
      </c>
      <c r="F41" s="50">
        <f>'Base 2 VAR'!F56</f>
        <v>1.8662285733520101</v>
      </c>
      <c r="G41" s="50">
        <f>'Base 2 VAR M à 1 C a 0,6 $kg'!F56</f>
        <v>1.2366844429611419</v>
      </c>
      <c r="H41" s="50">
        <f>'Base 2 VAR 100 % C a 0,6 $kg'!F56</f>
        <v>1.2926692907113244</v>
      </c>
      <c r="I41" s="50">
        <f>'Base 2 VAR M à 38% C a 20%'!F56</f>
        <v>2.4936396117902389</v>
      </c>
      <c r="J41" s="50">
        <f>'Base 2 VAR 100 % C à 20%'!F56</f>
        <v>2.2774289625473156</v>
      </c>
    </row>
    <row r="42" spans="1:10" x14ac:dyDescent="0.25">
      <c r="A42" s="64"/>
      <c r="B42" s="64"/>
      <c r="C42" s="68"/>
      <c r="D42" s="64"/>
      <c r="E42" s="47"/>
      <c r="F42" s="47"/>
      <c r="G42" s="47"/>
      <c r="H42" s="47"/>
      <c r="I42" s="47"/>
      <c r="J42" s="47"/>
    </row>
    <row r="43" spans="1:10" x14ac:dyDescent="0.25">
      <c r="E43" s="47"/>
      <c r="F43" s="47"/>
      <c r="G43" s="47"/>
      <c r="H43" s="47"/>
      <c r="I43" s="47"/>
      <c r="J43" s="47"/>
    </row>
    <row r="44" spans="1:10" x14ac:dyDescent="0.25">
      <c r="E44" s="47"/>
      <c r="F44" s="47"/>
      <c r="G44" s="47"/>
      <c r="H44" s="47"/>
      <c r="I44" s="47"/>
      <c r="J44" s="47"/>
    </row>
    <row r="45" spans="1:10" x14ac:dyDescent="0.25">
      <c r="C45" s="69"/>
    </row>
    <row r="46" spans="1:10" x14ac:dyDescent="0.25">
      <c r="C46" s="69"/>
    </row>
    <row r="47" spans="1:10" x14ac:dyDescent="0.25">
      <c r="C47" s="69"/>
    </row>
    <row r="48" spans="1:10" x14ac:dyDescent="0.25">
      <c r="C48" s="69"/>
    </row>
    <row r="49" spans="3:3" x14ac:dyDescent="0.25">
      <c r="C49" s="69"/>
    </row>
    <row r="50" spans="3:3" x14ac:dyDescent="0.25">
      <c r="C50" s="69"/>
    </row>
    <row r="51" spans="3:3" x14ac:dyDescent="0.25">
      <c r="C51" s="69"/>
    </row>
    <row r="52" spans="3:3" x14ac:dyDescent="0.25">
      <c r="C52" s="69"/>
    </row>
    <row r="53" spans="3:3" x14ac:dyDescent="0.25">
      <c r="C53" s="69"/>
    </row>
    <row r="54" spans="3:3" x14ac:dyDescent="0.25">
      <c r="C54" s="69"/>
    </row>
    <row r="55" spans="3:3" x14ac:dyDescent="0.25">
      <c r="C55" s="70"/>
    </row>
  </sheetData>
  <mergeCells count="27">
    <mergeCell ref="C36:D36"/>
    <mergeCell ref="C37:D37"/>
    <mergeCell ref="C38:D38"/>
    <mergeCell ref="C41:D41"/>
    <mergeCell ref="C39:D39"/>
    <mergeCell ref="C32:D32"/>
    <mergeCell ref="C34:J34"/>
    <mergeCell ref="C35:D35"/>
    <mergeCell ref="A29:A32"/>
    <mergeCell ref="C24:D24"/>
    <mergeCell ref="C25:D25"/>
    <mergeCell ref="C26:D26"/>
    <mergeCell ref="C27:D27"/>
    <mergeCell ref="C29:D29"/>
    <mergeCell ref="C30:D30"/>
    <mergeCell ref="C31:D31"/>
    <mergeCell ref="F4:J4"/>
    <mergeCell ref="E5:F5"/>
    <mergeCell ref="C23:D23"/>
    <mergeCell ref="A16:A21"/>
    <mergeCell ref="A23:A27"/>
    <mergeCell ref="C16:J16"/>
    <mergeCell ref="C17:D17"/>
    <mergeCell ref="C18:D18"/>
    <mergeCell ref="C19:D19"/>
    <mergeCell ref="C20:D20"/>
    <mergeCell ref="C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G93"/>
  <sheetViews>
    <sheetView workbookViewId="0"/>
  </sheetViews>
  <sheetFormatPr baseColWidth="10" defaultRowHeight="15" x14ac:dyDescent="0.25"/>
  <cols>
    <col min="1" max="1" width="33.85546875" style="5" customWidth="1"/>
    <col min="3" max="3" width="15.7109375" customWidth="1"/>
    <col min="4" max="4" width="17" bestFit="1" customWidth="1"/>
    <col min="5" max="5" width="15.42578125" customWidth="1"/>
    <col min="6" max="6" width="15.7109375" customWidth="1"/>
    <col min="7" max="7" width="90.42578125" customWidth="1"/>
  </cols>
  <sheetData>
    <row r="1" spans="1:6" x14ac:dyDescent="0.25">
      <c r="C1" t="s">
        <v>20</v>
      </c>
    </row>
    <row r="4" spans="1:6" x14ac:dyDescent="0.25">
      <c r="A4" s="1" t="s">
        <v>2</v>
      </c>
    </row>
    <row r="5" spans="1:6" x14ac:dyDescent="0.25">
      <c r="A5" s="15" t="s">
        <v>59</v>
      </c>
    </row>
    <row r="6" spans="1:6" x14ac:dyDescent="0.25">
      <c r="C6" s="124" t="s">
        <v>4</v>
      </c>
      <c r="D6" s="124"/>
      <c r="E6" s="124"/>
      <c r="F6" s="124"/>
    </row>
    <row r="7" spans="1:6" x14ac:dyDescent="0.25">
      <c r="A7" s="24" t="s">
        <v>37</v>
      </c>
      <c r="B7" s="85">
        <f>'Synthèse SAFRAN'!B4</f>
        <v>1.3</v>
      </c>
      <c r="C7" s="124" t="s">
        <v>0</v>
      </c>
      <c r="D7" s="124"/>
      <c r="E7" s="124"/>
      <c r="F7" s="124"/>
    </row>
    <row r="8" spans="1:6" x14ac:dyDescent="0.25">
      <c r="A8" s="98" t="s">
        <v>70</v>
      </c>
      <c r="B8" s="81" t="s">
        <v>75</v>
      </c>
      <c r="C8" s="125">
        <f>[1]Scénario!$F$7</f>
        <v>883.18024999999989</v>
      </c>
      <c r="D8" s="126"/>
      <c r="E8" s="126"/>
      <c r="F8" s="127"/>
    </row>
    <row r="9" spans="1:6" x14ac:dyDescent="0.25">
      <c r="A9" s="98"/>
      <c r="B9" s="81" t="s">
        <v>74</v>
      </c>
      <c r="C9" s="128">
        <f>[1]Scénario!$F$20/[1]Scénario!$F$7</f>
        <v>1</v>
      </c>
      <c r="D9" s="129"/>
      <c r="E9" s="129"/>
      <c r="F9" s="130"/>
    </row>
    <row r="10" spans="1:6" x14ac:dyDescent="0.25">
      <c r="A10" s="98" t="s">
        <v>71</v>
      </c>
      <c r="B10" s="81" t="s">
        <v>75</v>
      </c>
      <c r="C10" s="125">
        <f>[1]Scénario!$F$16</f>
        <v>860.09740935114507</v>
      </c>
      <c r="D10" s="126"/>
      <c r="E10" s="126"/>
      <c r="F10" s="127"/>
    </row>
    <row r="11" spans="1:6" x14ac:dyDescent="0.25">
      <c r="A11" s="98"/>
      <c r="B11" s="81" t="s">
        <v>74</v>
      </c>
      <c r="C11" s="128">
        <f>[1]Scénario!$F$25/[1]Scénario!$F$16</f>
        <v>9.4125999999999994</v>
      </c>
      <c r="D11" s="129"/>
      <c r="E11" s="129"/>
      <c r="F11" s="130"/>
    </row>
    <row r="12" spans="1:6" x14ac:dyDescent="0.25">
      <c r="A12" s="98" t="s">
        <v>72</v>
      </c>
      <c r="B12" s="81" t="s">
        <v>75</v>
      </c>
      <c r="C12" s="125">
        <f>[1]Scénario!$F$10</f>
        <v>1235.5442499999999</v>
      </c>
      <c r="D12" s="126"/>
      <c r="E12" s="126"/>
      <c r="F12" s="127"/>
    </row>
    <row r="13" spans="1:6" x14ac:dyDescent="0.25">
      <c r="A13" s="98"/>
      <c r="B13" s="81" t="s">
        <v>74</v>
      </c>
      <c r="C13" s="128">
        <f>[1]Scénario!$F$23/[1]Scénario!$F$10</f>
        <v>0.60000000000000009</v>
      </c>
      <c r="D13" s="129"/>
      <c r="E13" s="129"/>
      <c r="F13" s="130"/>
    </row>
    <row r="14" spans="1:6" x14ac:dyDescent="0.25">
      <c r="A14" s="98" t="s">
        <v>73</v>
      </c>
      <c r="B14" s="81" t="s">
        <v>75</v>
      </c>
      <c r="C14" s="125">
        <f>[1]Scénario!$F$17</f>
        <v>1290.1461140267174</v>
      </c>
      <c r="D14" s="126"/>
      <c r="E14" s="126"/>
      <c r="F14" s="127"/>
    </row>
    <row r="15" spans="1:6" x14ac:dyDescent="0.25">
      <c r="A15" s="98"/>
      <c r="B15" s="81" t="s">
        <v>74</v>
      </c>
      <c r="C15" s="128">
        <f>[1]Scénario!$F$26/[1]Scénario!$F$17</f>
        <v>4.9540000000000006</v>
      </c>
      <c r="D15" s="129"/>
      <c r="E15" s="129"/>
      <c r="F15" s="130"/>
    </row>
    <row r="16" spans="1:6" x14ac:dyDescent="0.25">
      <c r="C16" s="124" t="s">
        <v>80</v>
      </c>
      <c r="D16" s="124"/>
      <c r="E16" s="124"/>
      <c r="F16" s="40">
        <f>[1]Exploitation!$G$8</f>
        <v>4033.8877535871325</v>
      </c>
    </row>
    <row r="17" spans="1:7" x14ac:dyDescent="0.25">
      <c r="C17" s="6" t="s">
        <v>14</v>
      </c>
      <c r="D17" s="6" t="s">
        <v>15</v>
      </c>
      <c r="E17" s="6" t="s">
        <v>16</v>
      </c>
      <c r="F17" s="6" t="s">
        <v>19</v>
      </c>
      <c r="G17" s="14" t="s">
        <v>23</v>
      </c>
    </row>
    <row r="18" spans="1:7" x14ac:dyDescent="0.25">
      <c r="B18" s="3" t="s">
        <v>1</v>
      </c>
      <c r="C18" s="3"/>
      <c r="D18" s="3"/>
      <c r="E18" s="3"/>
      <c r="F18" s="3"/>
    </row>
    <row r="19" spans="1:7" x14ac:dyDescent="0.25">
      <c r="A19" s="8" t="s">
        <v>5</v>
      </c>
      <c r="C19" s="3"/>
      <c r="D19" s="4">
        <f>'[1]Données PAMCHR'!$G$210*'[1]Données gestion'!$H$15*(1+2/3*3.5%)</f>
        <v>1772384.6800000002</v>
      </c>
      <c r="E19" s="19">
        <f>C19+D19*eurodol</f>
        <v>2304100.0840000003</v>
      </c>
      <c r="F19" s="21">
        <f>E19/$F$16/1000</f>
        <v>0.57118596866040228</v>
      </c>
      <c r="G19" t="s">
        <v>43</v>
      </c>
    </row>
    <row r="20" spans="1:7" x14ac:dyDescent="0.25">
      <c r="A20" s="8"/>
      <c r="C20" s="3"/>
      <c r="D20" s="3"/>
      <c r="E20" s="19"/>
      <c r="F20" s="21"/>
    </row>
    <row r="21" spans="1:7" x14ac:dyDescent="0.25">
      <c r="A21" s="8" t="s">
        <v>21</v>
      </c>
      <c r="C21" s="3"/>
      <c r="D21" s="4">
        <f>'[1]Données Investissement'!$I$65+'[1]Données Investissement'!$N$26*1000*1000</f>
        <v>2212000</v>
      </c>
      <c r="E21" s="19">
        <f>C21+D21*eurodol</f>
        <v>2875600</v>
      </c>
      <c r="F21" s="21">
        <f t="shared" ref="F21:F48" si="0">E21/$F$16/1000</f>
        <v>0.71286068816438297</v>
      </c>
      <c r="G21" t="s">
        <v>27</v>
      </c>
    </row>
    <row r="22" spans="1:7" x14ac:dyDescent="0.25">
      <c r="A22" s="8"/>
      <c r="C22" s="3"/>
      <c r="D22" s="3"/>
      <c r="E22" s="19"/>
      <c r="F22" s="21"/>
    </row>
    <row r="23" spans="1:7" x14ac:dyDescent="0.25">
      <c r="A23" s="8" t="s">
        <v>6</v>
      </c>
      <c r="C23" s="3"/>
      <c r="D23" s="4">
        <f>('[1]Données PAMCHR'!$H$232+'[1]Données PAMCHR'!$H$233+'[1]Données VAR'!$H$105+'[1]Données VAR'!$H$106+'[1]Données VAR'!$H$107)*'[1]Données gestion'!$H$25</f>
        <v>1999452.2620307547</v>
      </c>
      <c r="E23" s="19">
        <f>C23+D23*eurodol</f>
        <v>2599287.9406399811</v>
      </c>
      <c r="F23" s="21">
        <f t="shared" si="0"/>
        <v>0.6443629816740849</v>
      </c>
      <c r="G23" t="s">
        <v>47</v>
      </c>
    </row>
    <row r="24" spans="1:7" x14ac:dyDescent="0.25">
      <c r="A24" s="9"/>
      <c r="C24" s="3"/>
      <c r="D24" s="3"/>
      <c r="E24" s="19"/>
      <c r="F24" s="21"/>
    </row>
    <row r="25" spans="1:7" ht="135" x14ac:dyDescent="0.25">
      <c r="A25" s="5" t="s">
        <v>28</v>
      </c>
      <c r="C25" s="3"/>
      <c r="D25" s="4">
        <f>'[1]Données PAMCHR'!$D$243+'[1]Données PAMCHR'!$H$257+'[1]Données VAR'!$I$75+'[1]Données VAR'!$H$114+'[1]Données VAR'!$H$120+[1]Exploitation!$G$19+'[1]Données gestion'!$I$50-'[1]Données gestion'!$H$115</f>
        <v>2920086.8879879052</v>
      </c>
      <c r="E25" s="19">
        <f>C25+D25*eurodol</f>
        <v>3796112.9543842766</v>
      </c>
      <c r="F25" s="21">
        <f t="shared" si="0"/>
        <v>0.94105567290725556</v>
      </c>
      <c r="G25" s="26" t="s">
        <v>62</v>
      </c>
    </row>
    <row r="26" spans="1:7" x14ac:dyDescent="0.25">
      <c r="A26" s="8"/>
      <c r="C26" s="3"/>
      <c r="D26" s="3"/>
      <c r="E26" s="19"/>
      <c r="F26" s="21"/>
    </row>
    <row r="27" spans="1:7" x14ac:dyDescent="0.25">
      <c r="A27" s="8" t="s">
        <v>7</v>
      </c>
      <c r="C27" s="3"/>
      <c r="D27" s="3"/>
      <c r="E27" s="19"/>
      <c r="F27" s="21"/>
    </row>
    <row r="28" spans="1:7" x14ac:dyDescent="0.25">
      <c r="A28" s="23" t="s">
        <v>8</v>
      </c>
      <c r="B28" s="16">
        <f>[1]Scénario!$F$7+[1]Scénario!$F$10+[1]Scénario!$F$16+[1]Scénario!$F$17</f>
        <v>4268.9680233778618</v>
      </c>
      <c r="C28" s="4">
        <f>([1]Scénario!$F$20+[1]Scénario!$F$23+[1]Scénario!$F$25+[1]Scénario!$F$26)*1000</f>
        <v>16111643.524146946</v>
      </c>
      <c r="D28" s="19">
        <f>C28/eurodol</f>
        <v>12393571.941651497</v>
      </c>
      <c r="E28" s="19">
        <f>C28</f>
        <v>16111643.524146946</v>
      </c>
      <c r="F28" s="21">
        <f t="shared" si="0"/>
        <v>3.9940733377669413</v>
      </c>
      <c r="G28" t="s">
        <v>25</v>
      </c>
    </row>
    <row r="29" spans="1:7" x14ac:dyDescent="0.25">
      <c r="A29" s="23" t="s">
        <v>3</v>
      </c>
      <c r="B29" s="16">
        <f>'[1]Données PAMCHR'!$H$148</f>
        <v>787.0949241900156</v>
      </c>
      <c r="C29" s="4">
        <f>B29*'[1]Données Matières'!$AC$52*1000</f>
        <v>7870949.2419001563</v>
      </c>
      <c r="D29" s="19">
        <f>C29/eurodol</f>
        <v>6054576.3399231965</v>
      </c>
      <c r="E29" s="19">
        <f>C29</f>
        <v>7870949.2419001563</v>
      </c>
      <c r="F29" s="21">
        <f t="shared" si="0"/>
        <v>1.9512068066100547</v>
      </c>
      <c r="G29" t="s">
        <v>24</v>
      </c>
    </row>
    <row r="30" spans="1:7" x14ac:dyDescent="0.25">
      <c r="A30" s="23" t="s">
        <v>9</v>
      </c>
      <c r="B30" s="16">
        <f>'[1]Données PAMCHR'!$H$152+'[1]Données PAMCHR'!$H$153</f>
        <v>86.580441660901727</v>
      </c>
      <c r="C30" s="18"/>
      <c r="D30" s="4">
        <f>'[1]Données PAMCHR'!$K$176</f>
        <v>1516810.6284065791</v>
      </c>
      <c r="E30" s="19">
        <f>C30+D30*eurodol</f>
        <v>1971853.8169285529</v>
      </c>
      <c r="F30" s="21">
        <f t="shared" si="0"/>
        <v>0.48882218281237078</v>
      </c>
    </row>
    <row r="31" spans="1:7" x14ac:dyDescent="0.25">
      <c r="A31" s="8"/>
      <c r="C31" s="3"/>
      <c r="D31" s="3"/>
      <c r="E31" s="19"/>
      <c r="F31" s="21"/>
    </row>
    <row r="32" spans="1:7" x14ac:dyDescent="0.25">
      <c r="A32" s="8" t="s">
        <v>17</v>
      </c>
      <c r="C32" s="3"/>
      <c r="D32" s="4">
        <f>'[1]Données PAMCHR'!$K$180</f>
        <v>5852604.9142423961</v>
      </c>
      <c r="E32" s="19">
        <f>C32+D32*eurodol</f>
        <v>7608386.3885151148</v>
      </c>
      <c r="F32" s="21">
        <f t="shared" si="0"/>
        <v>1.8861175256424429</v>
      </c>
      <c r="G32" t="s">
        <v>42</v>
      </c>
    </row>
    <row r="33" spans="1:7" x14ac:dyDescent="0.25">
      <c r="A33" s="8"/>
      <c r="C33" s="3"/>
      <c r="D33" s="3"/>
      <c r="E33" s="19"/>
      <c r="F33" s="21"/>
    </row>
    <row r="34" spans="1:7" x14ac:dyDescent="0.25">
      <c r="A34" s="8" t="s">
        <v>18</v>
      </c>
      <c r="C34" s="3"/>
      <c r="D34" s="4">
        <f>'[1]Données PAMCHR'!$K$181</f>
        <v>777473.65102814883</v>
      </c>
      <c r="E34" s="19">
        <f>C34+D34*eurodol</f>
        <v>1010715.7463365935</v>
      </c>
      <c r="F34" s="21">
        <f t="shared" si="0"/>
        <v>0.25055623955768602</v>
      </c>
      <c r="G34" t="s">
        <v>30</v>
      </c>
    </row>
    <row r="35" spans="1:7" x14ac:dyDescent="0.25">
      <c r="A35" s="8"/>
      <c r="C35" s="3"/>
      <c r="D35" s="3"/>
      <c r="E35" s="19"/>
      <c r="F35" s="21"/>
    </row>
    <row r="36" spans="1:7" x14ac:dyDescent="0.25">
      <c r="A36" s="11" t="s">
        <v>10</v>
      </c>
      <c r="C36" s="3"/>
      <c r="D36" s="4">
        <f>[1]Exploitation!$G$41</f>
        <v>4923550.7578772595</v>
      </c>
      <c r="E36" s="19">
        <f>C36+D36*eurodol</f>
        <v>6400615.985240438</v>
      </c>
      <c r="F36" s="21">
        <f t="shared" si="0"/>
        <v>1.5867114744451414</v>
      </c>
      <c r="G36" t="s">
        <v>44</v>
      </c>
    </row>
    <row r="37" spans="1:7" x14ac:dyDescent="0.25">
      <c r="C37" s="3"/>
      <c r="D37" s="3"/>
      <c r="E37" s="19"/>
      <c r="F37" s="21"/>
    </row>
    <row r="38" spans="1:7" x14ac:dyDescent="0.25">
      <c r="A38" s="11" t="s">
        <v>11</v>
      </c>
      <c r="C38" s="3"/>
      <c r="D38" s="4">
        <f>'[1]Données Investissement'!$H$78</f>
        <v>870900</v>
      </c>
      <c r="E38" s="19">
        <f>C38+D38*eurodol</f>
        <v>1132170</v>
      </c>
      <c r="F38" s="21">
        <f t="shared" si="0"/>
        <v>0.28066472573343626</v>
      </c>
      <c r="G38" t="s">
        <v>26</v>
      </c>
    </row>
    <row r="39" spans="1:7" x14ac:dyDescent="0.25">
      <c r="A39" s="12"/>
      <c r="C39" s="3"/>
      <c r="D39" s="3"/>
      <c r="E39" s="19"/>
      <c r="F39" s="21"/>
    </row>
    <row r="40" spans="1:7" x14ac:dyDescent="0.25">
      <c r="A40" s="12" t="s">
        <v>33</v>
      </c>
      <c r="C40" s="3"/>
      <c r="D40" s="4">
        <f>[1]Exploitation!$G$25-'[1]Données gestion'!$E$70</f>
        <v>1205000.5833333335</v>
      </c>
      <c r="E40" s="19">
        <f>C40+D40*eurodol</f>
        <v>1566500.7583333335</v>
      </c>
      <c r="F40" s="21">
        <f t="shared" si="0"/>
        <v>0.38833523737499231</v>
      </c>
      <c r="G40" t="s">
        <v>46</v>
      </c>
    </row>
    <row r="41" spans="1:7" x14ac:dyDescent="0.25">
      <c r="A41" s="12"/>
      <c r="C41" s="3"/>
      <c r="D41" s="3"/>
      <c r="E41" s="19"/>
      <c r="F41" s="21"/>
    </row>
    <row r="42" spans="1:7" x14ac:dyDescent="0.25">
      <c r="A42" s="11" t="s">
        <v>22</v>
      </c>
      <c r="C42" s="3"/>
      <c r="D42" s="4">
        <f>'[1]Données Investissement'!$N$27*1000*1000</f>
        <v>1250333.3333333333</v>
      </c>
      <c r="E42" s="19">
        <f>C42+D42*eurodol</f>
        <v>1625433.3333333333</v>
      </c>
      <c r="F42" s="21">
        <f t="shared" si="0"/>
        <v>0.40294461140816756</v>
      </c>
      <c r="G42" t="s">
        <v>31</v>
      </c>
    </row>
    <row r="43" spans="1:7" x14ac:dyDescent="0.25">
      <c r="A43" s="11"/>
      <c r="C43" s="3"/>
      <c r="D43" s="3"/>
      <c r="E43" s="19"/>
      <c r="F43" s="21"/>
    </row>
    <row r="44" spans="1:7" x14ac:dyDescent="0.25">
      <c r="A44" s="11" t="s">
        <v>49</v>
      </c>
      <c r="C44" s="3"/>
      <c r="D44" s="4">
        <f>'[1]Données gestion'!$I$86+'[1]Données gestion'!$I$58</f>
        <v>400000</v>
      </c>
      <c r="E44" s="19">
        <f>C44+D44*eurodol</f>
        <v>520000</v>
      </c>
      <c r="F44" s="21">
        <f t="shared" si="0"/>
        <v>0.12890790021055751</v>
      </c>
      <c r="G44" t="s">
        <v>48</v>
      </c>
    </row>
    <row r="45" spans="1:7" x14ac:dyDescent="0.25">
      <c r="A45" s="11"/>
      <c r="C45" s="3"/>
      <c r="D45" s="3"/>
      <c r="E45" s="19"/>
      <c r="F45" s="21"/>
    </row>
    <row r="46" spans="1:7" x14ac:dyDescent="0.25">
      <c r="A46" s="11" t="s">
        <v>12</v>
      </c>
      <c r="C46" s="3"/>
      <c r="D46" s="4">
        <f>'[1]Données gestion'!$H$115</f>
        <v>71000</v>
      </c>
      <c r="E46" s="19">
        <f>C46+D46*eurodol</f>
        <v>92300</v>
      </c>
      <c r="F46" s="21">
        <f t="shared" si="0"/>
        <v>2.2881152287373953E-2</v>
      </c>
    </row>
    <row r="47" spans="1:7" x14ac:dyDescent="0.25">
      <c r="A47" s="11"/>
      <c r="C47" s="3"/>
      <c r="D47" s="3"/>
      <c r="E47" s="19"/>
      <c r="F47" s="21"/>
    </row>
    <row r="48" spans="1:7" x14ac:dyDescent="0.25">
      <c r="A48" s="11" t="s">
        <v>13</v>
      </c>
      <c r="C48" s="3"/>
      <c r="D48" s="4">
        <f>'[1]Données gestion'!$E$70+'[1]Données gestion'!$I$61-'[1]Données gestion'!$I$58</f>
        <v>714513.68350617331</v>
      </c>
      <c r="E48" s="19">
        <f>C48+D48*eurodol</f>
        <v>928867.78855802538</v>
      </c>
      <c r="F48" s="21">
        <f t="shared" si="0"/>
        <v>0.23026614653122915</v>
      </c>
      <c r="G48" t="s">
        <v>45</v>
      </c>
    </row>
    <row r="49" spans="1:7" x14ac:dyDescent="0.25">
      <c r="A49" s="11"/>
      <c r="D49" s="28">
        <f>SUM(D18:D48)-D36</f>
        <v>40010708.905443326</v>
      </c>
      <c r="E49" s="28">
        <f>SUM(E18:E48)-E36</f>
        <v>52013921.577076316</v>
      </c>
      <c r="F49" s="22"/>
    </row>
    <row r="50" spans="1:7" x14ac:dyDescent="0.25">
      <c r="A50" s="11"/>
      <c r="D50" s="2"/>
      <c r="E50" s="2"/>
      <c r="F50" s="22"/>
    </row>
    <row r="51" spans="1:7" x14ac:dyDescent="0.25">
      <c r="A51" s="29" t="s">
        <v>66</v>
      </c>
      <c r="B51" s="30"/>
      <c r="C51" s="30"/>
      <c r="D51" s="30"/>
      <c r="E51" s="30"/>
      <c r="F51" s="31"/>
    </row>
    <row r="52" spans="1:7" x14ac:dyDescent="0.25">
      <c r="A52" s="32" t="s">
        <v>54</v>
      </c>
      <c r="B52" s="33"/>
      <c r="C52" s="33"/>
      <c r="D52" s="33"/>
      <c r="E52" s="33"/>
      <c r="F52" s="34">
        <f>F28+F29+F30+F32+F34</f>
        <v>8.5707760923894938</v>
      </c>
    </row>
    <row r="53" spans="1:7" x14ac:dyDescent="0.25">
      <c r="A53" s="32" t="s">
        <v>55</v>
      </c>
      <c r="B53" s="33"/>
      <c r="C53" s="33"/>
      <c r="D53" s="33"/>
      <c r="E53" s="33"/>
      <c r="F53" s="34">
        <f>F19+F23+F25+F38+F46</f>
        <v>2.4601505012625529</v>
      </c>
    </row>
    <row r="54" spans="1:7" x14ac:dyDescent="0.25">
      <c r="A54" s="32" t="s">
        <v>56</v>
      </c>
      <c r="B54" s="33"/>
      <c r="C54" s="33"/>
      <c r="D54" s="33"/>
      <c r="E54" s="33"/>
      <c r="F54" s="34">
        <f>F21+F40+F42+F44+F48</f>
        <v>1.8633145836893297</v>
      </c>
    </row>
    <row r="55" spans="1:7" x14ac:dyDescent="0.25">
      <c r="A55" s="35" t="s">
        <v>57</v>
      </c>
      <c r="B55" s="33"/>
      <c r="C55" s="33"/>
      <c r="D55" s="33"/>
      <c r="E55" s="33"/>
      <c r="F55" s="34">
        <f>SUM(F52:F54)</f>
        <v>12.894241177341378</v>
      </c>
    </row>
    <row r="56" spans="1:7" x14ac:dyDescent="0.25">
      <c r="A56" s="36" t="s">
        <v>58</v>
      </c>
      <c r="B56" s="37"/>
      <c r="C56" s="37"/>
      <c r="D56" s="37"/>
      <c r="E56" s="37"/>
      <c r="F56" s="38">
        <f>F36</f>
        <v>1.5867114744451414</v>
      </c>
    </row>
    <row r="57" spans="1:7" x14ac:dyDescent="0.25">
      <c r="A57" s="11"/>
      <c r="E57" s="20"/>
    </row>
    <row r="58" spans="1:7" x14ac:dyDescent="0.25">
      <c r="A58" s="11" t="s">
        <v>35</v>
      </c>
      <c r="E58" s="2">
        <f>[1]Scénario!$F$2*1000</f>
        <v>77694530.746399999</v>
      </c>
      <c r="F58" s="22">
        <f>E58/F16/1000</f>
        <v>19.26045926223658</v>
      </c>
      <c r="G58" t="s">
        <v>36</v>
      </c>
    </row>
    <row r="59" spans="1:7" x14ac:dyDescent="0.25">
      <c r="A59" s="11"/>
    </row>
    <row r="60" spans="1:7" x14ac:dyDescent="0.25">
      <c r="A60" s="11"/>
    </row>
    <row r="61" spans="1:7" x14ac:dyDescent="0.25">
      <c r="A61" s="11"/>
    </row>
    <row r="62" spans="1:7" x14ac:dyDescent="0.25">
      <c r="A62" s="11" t="s">
        <v>38</v>
      </c>
    </row>
    <row r="63" spans="1:7" x14ac:dyDescent="0.25">
      <c r="A63" s="11"/>
    </row>
    <row r="64" spans="1:7" x14ac:dyDescent="0.25">
      <c r="A64" s="11" t="s">
        <v>50</v>
      </c>
      <c r="B64" t="s">
        <v>39</v>
      </c>
    </row>
    <row r="65" spans="1:2" x14ac:dyDescent="0.25">
      <c r="A65" s="11"/>
      <c r="B65" t="s">
        <v>40</v>
      </c>
    </row>
    <row r="66" spans="1:2" x14ac:dyDescent="0.25">
      <c r="A66" s="11"/>
      <c r="B66" t="s">
        <v>41</v>
      </c>
    </row>
    <row r="67" spans="1:2" x14ac:dyDescent="0.25">
      <c r="A67" s="11"/>
    </row>
    <row r="68" spans="1:2" x14ac:dyDescent="0.25">
      <c r="A68" s="11"/>
    </row>
    <row r="69" spans="1:2" x14ac:dyDescent="0.25">
      <c r="A69" s="11"/>
    </row>
    <row r="70" spans="1:2" x14ac:dyDescent="0.25">
      <c r="A70" s="11"/>
    </row>
    <row r="71" spans="1:2" x14ac:dyDescent="0.25">
      <c r="A71" s="11"/>
    </row>
    <row r="72" spans="1:2" x14ac:dyDescent="0.25">
      <c r="A72" s="11"/>
    </row>
    <row r="73" spans="1:2" x14ac:dyDescent="0.25">
      <c r="A73" s="11"/>
    </row>
    <row r="74" spans="1:2" x14ac:dyDescent="0.25">
      <c r="A74" s="11"/>
    </row>
    <row r="75" spans="1:2" x14ac:dyDescent="0.25">
      <c r="A75" s="11"/>
    </row>
    <row r="76" spans="1:2" x14ac:dyDescent="0.25">
      <c r="A76" s="11"/>
    </row>
    <row r="77" spans="1:2" x14ac:dyDescent="0.25">
      <c r="A77" s="11"/>
    </row>
    <row r="78" spans="1:2" x14ac:dyDescent="0.25">
      <c r="A78" s="11"/>
    </row>
    <row r="79" spans="1:2" x14ac:dyDescent="0.25">
      <c r="A79" s="11"/>
    </row>
    <row r="80" spans="1:2" x14ac:dyDescent="0.25">
      <c r="A80" s="11"/>
    </row>
    <row r="81" spans="1:1" x14ac:dyDescent="0.25">
      <c r="A81" s="11"/>
    </row>
    <row r="82" spans="1:1" x14ac:dyDescent="0.25">
      <c r="A82" s="11"/>
    </row>
    <row r="83" spans="1:1" x14ac:dyDescent="0.25">
      <c r="A83" s="8"/>
    </row>
    <row r="84" spans="1:1" x14ac:dyDescent="0.25">
      <c r="A84" s="8"/>
    </row>
    <row r="85" spans="1:1" x14ac:dyDescent="0.25">
      <c r="A85" s="8"/>
    </row>
    <row r="86" spans="1:1" x14ac:dyDescent="0.25">
      <c r="A86" s="8"/>
    </row>
    <row r="87" spans="1:1" x14ac:dyDescent="0.25">
      <c r="A87" s="8"/>
    </row>
    <row r="88" spans="1:1" x14ac:dyDescent="0.25">
      <c r="A88" s="8"/>
    </row>
    <row r="89" spans="1:1" x14ac:dyDescent="0.25">
      <c r="A89" s="8"/>
    </row>
    <row r="90" spans="1:1" x14ac:dyDescent="0.25">
      <c r="A90" s="8"/>
    </row>
    <row r="91" spans="1:1" x14ac:dyDescent="0.25">
      <c r="A91" s="8"/>
    </row>
    <row r="92" spans="1:1" x14ac:dyDescent="0.25">
      <c r="A92" s="8"/>
    </row>
    <row r="93" spans="1:1" x14ac:dyDescent="0.25">
      <c r="A93" s="10"/>
    </row>
  </sheetData>
  <mergeCells count="15">
    <mergeCell ref="C6:F6"/>
    <mergeCell ref="C16:E16"/>
    <mergeCell ref="C8:F8"/>
    <mergeCell ref="C9:F9"/>
    <mergeCell ref="C10:F10"/>
    <mergeCell ref="C11:F11"/>
    <mergeCell ref="C12:F12"/>
    <mergeCell ref="C13:F13"/>
    <mergeCell ref="C14:F14"/>
    <mergeCell ref="C15:F15"/>
    <mergeCell ref="A8:A9"/>
    <mergeCell ref="A10:A11"/>
    <mergeCell ref="A12:A13"/>
    <mergeCell ref="A14:A15"/>
    <mergeCell ref="C7:F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activeCell="C2" sqref="C2"/>
    </sheetView>
  </sheetViews>
  <sheetFormatPr baseColWidth="10" defaultRowHeight="15" x14ac:dyDescent="0.25"/>
  <cols>
    <col min="1" max="1" width="33.5703125" style="5" customWidth="1"/>
    <col min="3" max="3" width="15.7109375" customWidth="1"/>
    <col min="4" max="4" width="17" bestFit="1" customWidth="1"/>
    <col min="5" max="5" width="15.42578125" customWidth="1"/>
    <col min="6" max="6" width="15.7109375" customWidth="1"/>
    <col min="7" max="7" width="72.7109375" customWidth="1"/>
  </cols>
  <sheetData>
    <row r="1" spans="1:6" x14ac:dyDescent="0.25">
      <c r="C1" t="s">
        <v>60</v>
      </c>
    </row>
    <row r="4" spans="1:6" x14ac:dyDescent="0.25">
      <c r="A4" s="1" t="s">
        <v>2</v>
      </c>
    </row>
    <row r="5" spans="1:6" x14ac:dyDescent="0.25">
      <c r="A5" s="15" t="s">
        <v>59</v>
      </c>
    </row>
    <row r="6" spans="1:6" x14ac:dyDescent="0.25">
      <c r="C6" s="124" t="s">
        <v>68</v>
      </c>
      <c r="D6" s="124"/>
      <c r="E6" s="124"/>
      <c r="F6" s="124"/>
    </row>
    <row r="7" spans="1:6" x14ac:dyDescent="0.25">
      <c r="A7" s="24" t="s">
        <v>37</v>
      </c>
      <c r="B7" s="85">
        <f>'Synthèse SAFRAN'!B4</f>
        <v>1.3</v>
      </c>
      <c r="C7" s="124" t="s">
        <v>0</v>
      </c>
      <c r="D7" s="124"/>
      <c r="E7" s="124"/>
      <c r="F7" s="124"/>
    </row>
    <row r="8" spans="1:6" x14ac:dyDescent="0.25">
      <c r="A8" s="98" t="s">
        <v>70</v>
      </c>
      <c r="B8" s="81" t="s">
        <v>75</v>
      </c>
      <c r="C8" s="125">
        <f>[2]Scénario!$F$7</f>
        <v>883.18024999999989</v>
      </c>
      <c r="D8" s="126"/>
      <c r="E8" s="126"/>
      <c r="F8" s="127"/>
    </row>
    <row r="9" spans="1:6" x14ac:dyDescent="0.25">
      <c r="A9" s="98"/>
      <c r="B9" s="81" t="s">
        <v>74</v>
      </c>
      <c r="C9" s="128">
        <f>[2]Scénario!$F$20/[2]Scénario!$F$7</f>
        <v>1</v>
      </c>
      <c r="D9" s="129"/>
      <c r="E9" s="129"/>
      <c r="F9" s="130"/>
    </row>
    <row r="10" spans="1:6" x14ac:dyDescent="0.25">
      <c r="A10" s="98" t="s">
        <v>71</v>
      </c>
      <c r="B10" s="81" t="s">
        <v>75</v>
      </c>
      <c r="C10" s="125">
        <f>[2]Scénario!$F$16</f>
        <v>860.09740935114507</v>
      </c>
      <c r="D10" s="126"/>
      <c r="E10" s="126"/>
      <c r="F10" s="127"/>
    </row>
    <row r="11" spans="1:6" x14ac:dyDescent="0.25">
      <c r="A11" s="98"/>
      <c r="B11" s="81" t="s">
        <v>74</v>
      </c>
      <c r="C11" s="128">
        <f>[2]Scénario!$F$25/[2]Scénario!$F$16</f>
        <v>9.4125999999999994</v>
      </c>
      <c r="D11" s="129"/>
      <c r="E11" s="129"/>
      <c r="F11" s="130"/>
    </row>
    <row r="12" spans="1:6" x14ac:dyDescent="0.25">
      <c r="A12" s="98" t="s">
        <v>72</v>
      </c>
      <c r="B12" s="81" t="s">
        <v>75</v>
      </c>
      <c r="C12" s="125">
        <f>[2]Scénario!$F$10</f>
        <v>1235.5442499999999</v>
      </c>
      <c r="D12" s="126"/>
      <c r="E12" s="126"/>
      <c r="F12" s="127"/>
    </row>
    <row r="13" spans="1:6" x14ac:dyDescent="0.25">
      <c r="A13" s="98"/>
      <c r="B13" s="81" t="s">
        <v>74</v>
      </c>
      <c r="C13" s="128">
        <f>[2]Scénario!$F$23/[2]Scénario!$F$10</f>
        <v>0.60000000000000009</v>
      </c>
      <c r="D13" s="129"/>
      <c r="E13" s="129"/>
      <c r="F13" s="130"/>
    </row>
    <row r="14" spans="1:6" x14ac:dyDescent="0.25">
      <c r="A14" s="98" t="s">
        <v>73</v>
      </c>
      <c r="B14" s="81" t="s">
        <v>75</v>
      </c>
      <c r="C14" s="125">
        <f>[2]Scénario!$F$17</f>
        <v>1290.1461140267174</v>
      </c>
      <c r="D14" s="126"/>
      <c r="E14" s="126"/>
      <c r="F14" s="127"/>
    </row>
    <row r="15" spans="1:6" x14ac:dyDescent="0.25">
      <c r="A15" s="98"/>
      <c r="B15" s="81" t="s">
        <v>74</v>
      </c>
      <c r="C15" s="128">
        <f>[2]Scénario!$F$26/[2]Scénario!$F$17</f>
        <v>4.9540000000000006</v>
      </c>
      <c r="D15" s="129"/>
      <c r="E15" s="129"/>
      <c r="F15" s="130"/>
    </row>
    <row r="16" spans="1:6" x14ac:dyDescent="0.25">
      <c r="C16" s="124" t="s">
        <v>80</v>
      </c>
      <c r="D16" s="124"/>
      <c r="E16" s="124"/>
      <c r="F16" s="40">
        <f>[2]Exploitation!$G$8</f>
        <v>3926.2084278714792</v>
      </c>
    </row>
    <row r="17" spans="1:8" x14ac:dyDescent="0.25">
      <c r="C17" s="7" t="s">
        <v>14</v>
      </c>
      <c r="D17" s="7" t="s">
        <v>15</v>
      </c>
      <c r="E17" s="7" t="s">
        <v>16</v>
      </c>
      <c r="F17" s="7" t="s">
        <v>19</v>
      </c>
      <c r="G17" s="17" t="s">
        <v>23</v>
      </c>
    </row>
    <row r="18" spans="1:8" x14ac:dyDescent="0.25">
      <c r="B18" s="3" t="s">
        <v>1</v>
      </c>
      <c r="C18" s="3"/>
      <c r="D18" s="3"/>
      <c r="E18" s="3"/>
      <c r="F18" s="3"/>
    </row>
    <row r="19" spans="1:8" x14ac:dyDescent="0.25">
      <c r="A19" s="8" t="s">
        <v>5</v>
      </c>
      <c r="C19" s="3"/>
      <c r="D19" s="4">
        <f>'[2]Données PAMCHR'!$G$210*'[2]Données gestion'!$H$15*(1+2/3*3.5%)</f>
        <v>1973792.0300000003</v>
      </c>
      <c r="E19" s="19">
        <f>C19+D19*eurodol</f>
        <v>2565929.6390000004</v>
      </c>
      <c r="F19" s="21">
        <f>E19/$F$16/1000</f>
        <v>0.65353882406876485</v>
      </c>
      <c r="G19" t="s">
        <v>51</v>
      </c>
    </row>
    <row r="20" spans="1:8" x14ac:dyDescent="0.25">
      <c r="A20" s="8"/>
      <c r="C20" s="3"/>
      <c r="D20" s="3"/>
      <c r="E20" s="19"/>
      <c r="F20" s="21"/>
    </row>
    <row r="21" spans="1:8" x14ac:dyDescent="0.25">
      <c r="A21" s="8" t="s">
        <v>21</v>
      </c>
      <c r="C21" s="3"/>
      <c r="D21" s="4">
        <f>'[2]Données Investissement'!$I$65+'[2]Données Investissement'!$N$26*1000*1000</f>
        <v>2212000</v>
      </c>
      <c r="E21" s="19">
        <f>C21+D21*eurodol</f>
        <v>2875600</v>
      </c>
      <c r="F21" s="21">
        <f t="shared" ref="F21:F48" si="0">E21/$F$16/1000</f>
        <v>0.73241144804911762</v>
      </c>
      <c r="G21" t="s">
        <v>27</v>
      </c>
    </row>
    <row r="22" spans="1:8" x14ac:dyDescent="0.25">
      <c r="A22" s="8"/>
      <c r="C22" s="3"/>
      <c r="D22" s="3"/>
      <c r="E22" s="19"/>
      <c r="F22" s="21"/>
    </row>
    <row r="23" spans="1:8" x14ac:dyDescent="0.25">
      <c r="A23" s="8" t="s">
        <v>6</v>
      </c>
      <c r="C23" s="3"/>
      <c r="D23" s="4">
        <f>('[2]Données PAMCHR'!$H$232+'[2]Données PAMCHR'!$H$233+'[2]Données VAR'!$H$105+'[2]Données VAR'!$H$106+'[2]Données VAR'!$H$107)*'[2]Données gestion'!$H$25</f>
        <v>2274407.5520806932</v>
      </c>
      <c r="E23" s="19">
        <f>C23+D23*eurodol</f>
        <v>2956729.8177049011</v>
      </c>
      <c r="F23" s="21">
        <f t="shared" si="0"/>
        <v>0.75307510337851247</v>
      </c>
      <c r="G23" t="s">
        <v>52</v>
      </c>
    </row>
    <row r="24" spans="1:8" x14ac:dyDescent="0.25">
      <c r="A24" s="9"/>
      <c r="C24" s="3"/>
      <c r="D24" s="3"/>
      <c r="E24" s="19"/>
      <c r="F24" s="21"/>
    </row>
    <row r="25" spans="1:8" ht="135" x14ac:dyDescent="0.25">
      <c r="A25" s="5" t="s">
        <v>28</v>
      </c>
      <c r="C25" s="3"/>
      <c r="D25" s="4">
        <f>'[2]Données PAMCHR'!$D$243+'[2]Données PAMCHR'!$H$257+'[2]Données VAR'!$I$75+'[2]Données VAR'!$H$114+'[2]Données VAR'!$H$120+[2]Exploitation!$G$19+'[2]Données gestion'!$I$50-'[2]Données gestion'!$H$115</f>
        <v>3075359.7247379054</v>
      </c>
      <c r="E25" s="19">
        <f>C25+D25*eurodol</f>
        <v>3997967.6421592771</v>
      </c>
      <c r="F25" s="21">
        <f t="shared" si="0"/>
        <v>1.0182769752564309</v>
      </c>
      <c r="G25" s="26" t="s">
        <v>63</v>
      </c>
    </row>
    <row r="26" spans="1:8" x14ac:dyDescent="0.25">
      <c r="A26" s="8"/>
      <c r="C26" s="3"/>
      <c r="D26" s="3"/>
      <c r="E26" s="19"/>
      <c r="F26" s="21"/>
      <c r="H26" s="27"/>
    </row>
    <row r="27" spans="1:8" x14ac:dyDescent="0.25">
      <c r="A27" s="8" t="s">
        <v>7</v>
      </c>
      <c r="C27" s="3"/>
      <c r="D27" s="3"/>
      <c r="E27" s="19"/>
      <c r="F27" s="21"/>
    </row>
    <row r="28" spans="1:8" x14ac:dyDescent="0.25">
      <c r="A28" s="23" t="s">
        <v>8</v>
      </c>
      <c r="B28" s="16">
        <f>[2]Scénario!$F$7+[2]Scénario!$F$10+[2]Scénario!$F$16+[2]Scénario!$F$17</f>
        <v>4268.9680233778618</v>
      </c>
      <c r="C28" s="4">
        <f>([2]Scénario!$F$20+[2]Scénario!$F$23+[2]Scénario!$F$25+[2]Scénario!$F$26)*1000</f>
        <v>16111643.524146946</v>
      </c>
      <c r="D28" s="19">
        <f>C28/eurodol</f>
        <v>12393571.941651497</v>
      </c>
      <c r="E28" s="19">
        <f>C28</f>
        <v>16111643.524146946</v>
      </c>
      <c r="F28" s="21">
        <f t="shared" si="0"/>
        <v>4.1036139115216494</v>
      </c>
      <c r="G28" t="s">
        <v>25</v>
      </c>
    </row>
    <row r="29" spans="1:8" x14ac:dyDescent="0.25">
      <c r="A29" s="23" t="s">
        <v>3</v>
      </c>
      <c r="B29" s="16">
        <f>'[2]Données PAMCHR'!$H$148</f>
        <v>787.0949241900156</v>
      </c>
      <c r="C29" s="4">
        <f>B29*'[2]Données Matières'!$AC$52*1000</f>
        <v>7870949.2419001563</v>
      </c>
      <c r="D29" s="19">
        <f>C29/eurodol</f>
        <v>6054576.3399231965</v>
      </c>
      <c r="E29" s="19">
        <f>C29</f>
        <v>7870949.2419001563</v>
      </c>
      <c r="F29" s="21">
        <f t="shared" si="0"/>
        <v>2.004720173800667</v>
      </c>
      <c r="G29" t="s">
        <v>24</v>
      </c>
    </row>
    <row r="30" spans="1:8" x14ac:dyDescent="0.25">
      <c r="A30" s="23" t="s">
        <v>9</v>
      </c>
      <c r="B30" s="16">
        <f>'[2]Données PAMCHR'!$H$152+'[2]Données PAMCHR'!$H$153</f>
        <v>86.580441660901727</v>
      </c>
      <c r="C30" s="18"/>
      <c r="D30" s="4">
        <f>'[3]Données PAMCHR'!$K$176</f>
        <v>1516810.6284065791</v>
      </c>
      <c r="E30" s="19">
        <f>C30+D30*eurodol</f>
        <v>1971853.8169285529</v>
      </c>
      <c r="F30" s="21">
        <f t="shared" si="0"/>
        <v>0.50222851210106456</v>
      </c>
    </row>
    <row r="31" spans="1:8" x14ac:dyDescent="0.25">
      <c r="A31" s="8"/>
      <c r="C31" s="3"/>
      <c r="D31" s="3"/>
      <c r="E31" s="19"/>
      <c r="F31" s="21"/>
    </row>
    <row r="32" spans="1:8" x14ac:dyDescent="0.25">
      <c r="A32" s="8" t="s">
        <v>17</v>
      </c>
      <c r="C32" s="3"/>
      <c r="D32" s="4">
        <f>'[2]Données PAMCHR'!$K$180</f>
        <v>5852604.9142423961</v>
      </c>
      <c r="E32" s="19">
        <f>C32+D32*eurodol</f>
        <v>7608386.3885151148</v>
      </c>
      <c r="F32" s="21">
        <f t="shared" si="0"/>
        <v>1.9378457685803143</v>
      </c>
      <c r="G32" t="s">
        <v>29</v>
      </c>
    </row>
    <row r="33" spans="1:7" x14ac:dyDescent="0.25">
      <c r="A33" s="8"/>
      <c r="C33" s="3"/>
      <c r="D33" s="3"/>
      <c r="E33" s="19"/>
      <c r="F33" s="21"/>
    </row>
    <row r="34" spans="1:7" x14ac:dyDescent="0.25">
      <c r="A34" s="8" t="s">
        <v>18</v>
      </c>
      <c r="C34" s="3"/>
      <c r="D34" s="4">
        <f>'[2]Données PAMCHR'!$K$181</f>
        <v>777473.65102814883</v>
      </c>
      <c r="E34" s="19">
        <f>C34+D34*eurodol</f>
        <v>1010715.7463365935</v>
      </c>
      <c r="F34" s="21">
        <f t="shared" si="0"/>
        <v>0.25742793967882499</v>
      </c>
      <c r="G34" t="s">
        <v>30</v>
      </c>
    </row>
    <row r="35" spans="1:7" x14ac:dyDescent="0.25">
      <c r="A35" s="8"/>
      <c r="C35" s="3"/>
      <c r="D35" s="3"/>
      <c r="E35" s="19"/>
      <c r="F35" s="21"/>
    </row>
    <row r="36" spans="1:7" x14ac:dyDescent="0.25">
      <c r="A36" s="11" t="s">
        <v>10</v>
      </c>
      <c r="C36" s="3"/>
      <c r="D36" s="4">
        <f>[2]Exploitation!$G$41</f>
        <v>5636309.5023301756</v>
      </c>
      <c r="E36" s="19">
        <f>C36+D36*eurodol</f>
        <v>7327202.3530292287</v>
      </c>
      <c r="F36" s="21">
        <f t="shared" si="0"/>
        <v>1.8662285733520101</v>
      </c>
      <c r="G36" t="s">
        <v>53</v>
      </c>
    </row>
    <row r="37" spans="1:7" x14ac:dyDescent="0.25">
      <c r="C37" s="3"/>
      <c r="D37" s="3"/>
      <c r="E37" s="19"/>
      <c r="F37" s="21"/>
    </row>
    <row r="38" spans="1:7" x14ac:dyDescent="0.25">
      <c r="A38" s="11" t="s">
        <v>11</v>
      </c>
      <c r="C38" s="3"/>
      <c r="D38" s="4">
        <f>'[2]Données Investissement'!$H$78</f>
        <v>1161200</v>
      </c>
      <c r="E38" s="19">
        <f>C38+D38*eurodol</f>
        <v>1509560</v>
      </c>
      <c r="F38" s="21">
        <f t="shared" si="0"/>
        <v>0.3844828994008298</v>
      </c>
      <c r="G38" t="s">
        <v>26</v>
      </c>
    </row>
    <row r="39" spans="1:7" x14ac:dyDescent="0.25">
      <c r="A39" s="12"/>
      <c r="C39" s="3"/>
      <c r="D39" s="3"/>
      <c r="E39" s="19"/>
      <c r="F39" s="21"/>
    </row>
    <row r="40" spans="1:7" x14ac:dyDescent="0.25">
      <c r="A40" s="12" t="s">
        <v>33</v>
      </c>
      <c r="C40" s="3"/>
      <c r="D40" s="4">
        <f>[2]Exploitation!$G$25-'[2]Données gestion'!$E$70</f>
        <v>1205000.5833333335</v>
      </c>
      <c r="E40" s="19">
        <f>C40+D40*eurodol</f>
        <v>1566500.7583333335</v>
      </c>
      <c r="F40" s="21">
        <f t="shared" si="0"/>
        <v>0.39898563387848024</v>
      </c>
      <c r="G40" t="s">
        <v>32</v>
      </c>
    </row>
    <row r="41" spans="1:7" x14ac:dyDescent="0.25">
      <c r="A41" s="12"/>
      <c r="C41" s="3"/>
      <c r="D41" s="3"/>
      <c r="E41" s="19"/>
      <c r="F41" s="21"/>
    </row>
    <row r="42" spans="1:7" x14ac:dyDescent="0.25">
      <c r="A42" s="11" t="s">
        <v>22</v>
      </c>
      <c r="C42" s="3"/>
      <c r="D42" s="4">
        <f>'[2]Données Investissement'!$N$27*1000*1000</f>
        <v>1250333.3333333333</v>
      </c>
      <c r="E42" s="19">
        <f>C42+D42*eurodol</f>
        <v>1625433.3333333333</v>
      </c>
      <c r="F42" s="21">
        <f t="shared" si="0"/>
        <v>0.41399568137918025</v>
      </c>
      <c r="G42" t="s">
        <v>31</v>
      </c>
    </row>
    <row r="43" spans="1:7" x14ac:dyDescent="0.25">
      <c r="A43" s="11"/>
      <c r="C43" s="3"/>
      <c r="D43" s="3"/>
      <c r="E43" s="19"/>
      <c r="F43" s="21"/>
    </row>
    <row r="44" spans="1:7" x14ac:dyDescent="0.25">
      <c r="A44" s="11" t="s">
        <v>49</v>
      </c>
      <c r="C44" s="3"/>
      <c r="D44" s="4">
        <f>'[2]Données gestion'!$I$86+'[2]Données gestion'!$I$58</f>
        <v>400000</v>
      </c>
      <c r="E44" s="19">
        <f>C44+D44*eurodol</f>
        <v>520000</v>
      </c>
      <c r="F44" s="21">
        <f t="shared" si="0"/>
        <v>0.13244329982805023</v>
      </c>
    </row>
    <row r="45" spans="1:7" x14ac:dyDescent="0.25">
      <c r="A45" s="11"/>
      <c r="C45" s="3"/>
      <c r="D45" s="3"/>
      <c r="E45" s="19"/>
      <c r="F45" s="21"/>
    </row>
    <row r="46" spans="1:7" x14ac:dyDescent="0.25">
      <c r="A46" s="11" t="s">
        <v>12</v>
      </c>
      <c r="C46" s="3"/>
      <c r="D46" s="4">
        <f>'[2]Données gestion'!$H$115</f>
        <v>88750</v>
      </c>
      <c r="E46" s="19">
        <f>C46+D46*eurodol</f>
        <v>115375</v>
      </c>
      <c r="F46" s="21">
        <f t="shared" si="0"/>
        <v>2.9385857149348642E-2</v>
      </c>
    </row>
    <row r="47" spans="1:7" x14ac:dyDescent="0.25">
      <c r="A47" s="11"/>
      <c r="C47" s="3"/>
      <c r="D47" s="3"/>
      <c r="E47" s="19"/>
      <c r="F47" s="21"/>
    </row>
    <row r="48" spans="1:7" x14ac:dyDescent="0.25">
      <c r="A48" s="11" t="s">
        <v>13</v>
      </c>
      <c r="C48" s="3"/>
      <c r="D48" s="4">
        <f>'[2]Données gestion'!$E$70+'[2]Données gestion'!$I$61-'[2]Données gestion'!$I$58</f>
        <v>714973.58700724645</v>
      </c>
      <c r="E48" s="19">
        <f>C48+D48*eurodol</f>
        <v>929465.66310942045</v>
      </c>
      <c r="F48" s="21">
        <f t="shared" si="0"/>
        <v>0.23673365288284323</v>
      </c>
      <c r="G48" t="s">
        <v>34</v>
      </c>
    </row>
    <row r="49" spans="1:7" x14ac:dyDescent="0.25">
      <c r="A49" s="11"/>
      <c r="D49" s="28">
        <f>SUM(D18:D48)-D36</f>
        <v>40950854.285744339</v>
      </c>
      <c r="E49" s="28">
        <f>SUM(E18:E48)-E36</f>
        <v>53236110.571467631</v>
      </c>
      <c r="F49" s="22"/>
    </row>
    <row r="50" spans="1:7" x14ac:dyDescent="0.25">
      <c r="A50" s="11"/>
      <c r="E50" s="20"/>
      <c r="F50" s="22"/>
      <c r="G50" s="22"/>
    </row>
    <row r="51" spans="1:7" x14ac:dyDescent="0.25">
      <c r="A51" s="29" t="s">
        <v>66</v>
      </c>
      <c r="B51" s="30"/>
      <c r="C51" s="30"/>
      <c r="D51" s="30"/>
      <c r="E51" s="30"/>
      <c r="F51" s="31"/>
    </row>
    <row r="52" spans="1:7" x14ac:dyDescent="0.25">
      <c r="A52" s="32" t="s">
        <v>54</v>
      </c>
      <c r="B52" s="33"/>
      <c r="C52" s="33"/>
      <c r="D52" s="33"/>
      <c r="E52" s="33"/>
      <c r="F52" s="34">
        <f>F28+F29+F30+F32+F34</f>
        <v>8.8058363056825204</v>
      </c>
      <c r="G52" s="22"/>
    </row>
    <row r="53" spans="1:7" x14ac:dyDescent="0.25">
      <c r="A53" s="32" t="s">
        <v>55</v>
      </c>
      <c r="B53" s="33"/>
      <c r="C53" s="33"/>
      <c r="D53" s="33"/>
      <c r="E53" s="33"/>
      <c r="F53" s="34">
        <f>F19+F23+F25+F38+F46</f>
        <v>2.8387596592538871</v>
      </c>
      <c r="G53" s="22"/>
    </row>
    <row r="54" spans="1:7" x14ac:dyDescent="0.25">
      <c r="A54" s="32" t="s">
        <v>56</v>
      </c>
      <c r="B54" s="33"/>
      <c r="C54" s="33"/>
      <c r="D54" s="33"/>
      <c r="E54" s="33"/>
      <c r="F54" s="34">
        <f>F21+F40+F42+F44+F48</f>
        <v>1.9145697160176716</v>
      </c>
      <c r="G54" s="22"/>
    </row>
    <row r="55" spans="1:7" x14ac:dyDescent="0.25">
      <c r="A55" s="35" t="s">
        <v>57</v>
      </c>
      <c r="B55" s="33"/>
      <c r="C55" s="33"/>
      <c r="D55" s="33"/>
      <c r="E55" s="33"/>
      <c r="F55" s="34">
        <f>SUM(F52:F54)</f>
        <v>13.559165680954079</v>
      </c>
      <c r="G55" s="22"/>
    </row>
    <row r="56" spans="1:7" x14ac:dyDescent="0.25">
      <c r="A56" s="36" t="s">
        <v>58</v>
      </c>
      <c r="B56" s="37"/>
      <c r="C56" s="37"/>
      <c r="D56" s="37"/>
      <c r="E56" s="37"/>
      <c r="F56" s="38">
        <f>F36</f>
        <v>1.8662285733520101</v>
      </c>
    </row>
    <row r="57" spans="1:7" x14ac:dyDescent="0.25">
      <c r="A57" s="11"/>
    </row>
    <row r="58" spans="1:7" x14ac:dyDescent="0.25">
      <c r="A58" s="11" t="s">
        <v>35</v>
      </c>
      <c r="E58" s="2">
        <f>[2]Scénario!$F$2*1000</f>
        <v>77694530.746399999</v>
      </c>
      <c r="F58" s="22">
        <f>E58/F16/1000</f>
        <v>19.788692366625234</v>
      </c>
      <c r="G58" t="s">
        <v>36</v>
      </c>
    </row>
    <row r="59" spans="1:7" x14ac:dyDescent="0.25">
      <c r="A59" s="11"/>
    </row>
    <row r="60" spans="1:7" x14ac:dyDescent="0.25">
      <c r="A60" s="11"/>
    </row>
    <row r="61" spans="1:7" x14ac:dyDescent="0.25">
      <c r="A61" s="11"/>
    </row>
    <row r="62" spans="1:7" x14ac:dyDescent="0.25">
      <c r="A62" s="11"/>
    </row>
    <row r="63" spans="1:7" x14ac:dyDescent="0.25">
      <c r="A63" s="11"/>
    </row>
    <row r="64" spans="1:7" x14ac:dyDescent="0.25">
      <c r="A64" s="11"/>
    </row>
    <row r="65" spans="1:1" x14ac:dyDescent="0.25">
      <c r="A65" s="11"/>
    </row>
    <row r="66" spans="1:1" x14ac:dyDescent="0.25">
      <c r="A66" s="11"/>
    </row>
    <row r="67" spans="1:1" x14ac:dyDescent="0.25">
      <c r="A67" s="11"/>
    </row>
    <row r="68" spans="1:1" x14ac:dyDescent="0.25">
      <c r="A68" s="11"/>
    </row>
    <row r="69" spans="1:1" x14ac:dyDescent="0.25">
      <c r="A69" s="11"/>
    </row>
    <row r="70" spans="1:1" x14ac:dyDescent="0.25">
      <c r="A70" s="11"/>
    </row>
    <row r="71" spans="1:1" x14ac:dyDescent="0.25">
      <c r="A71" s="11"/>
    </row>
    <row r="72" spans="1:1" x14ac:dyDescent="0.25">
      <c r="A72" s="11"/>
    </row>
    <row r="73" spans="1:1" x14ac:dyDescent="0.25">
      <c r="A73" s="11"/>
    </row>
    <row r="74" spans="1:1" x14ac:dyDescent="0.25">
      <c r="A74" s="11"/>
    </row>
    <row r="75" spans="1:1" x14ac:dyDescent="0.25">
      <c r="A75" s="11"/>
    </row>
    <row r="76" spans="1:1" x14ac:dyDescent="0.25">
      <c r="A76" s="11"/>
    </row>
    <row r="77" spans="1:1" x14ac:dyDescent="0.25">
      <c r="A77" s="11"/>
    </row>
    <row r="78" spans="1:1" x14ac:dyDescent="0.25">
      <c r="A78" s="11"/>
    </row>
    <row r="79" spans="1:1" x14ac:dyDescent="0.25">
      <c r="A79" s="11"/>
    </row>
    <row r="80" spans="1:1" x14ac:dyDescent="0.25">
      <c r="A80" s="8"/>
    </row>
    <row r="81" spans="1:1" x14ac:dyDescent="0.25">
      <c r="A81" s="8"/>
    </row>
    <row r="82" spans="1:1" x14ac:dyDescent="0.25">
      <c r="A82" s="8"/>
    </row>
    <row r="83" spans="1:1" x14ac:dyDescent="0.25">
      <c r="A83" s="8"/>
    </row>
    <row r="84" spans="1:1" x14ac:dyDescent="0.25">
      <c r="A84" s="8"/>
    </row>
    <row r="85" spans="1:1" x14ac:dyDescent="0.25">
      <c r="A85" s="8"/>
    </row>
    <row r="86" spans="1:1" x14ac:dyDescent="0.25">
      <c r="A86" s="8"/>
    </row>
    <row r="87" spans="1:1" x14ac:dyDescent="0.25">
      <c r="A87" s="8"/>
    </row>
    <row r="88" spans="1:1" x14ac:dyDescent="0.25">
      <c r="A88" s="8"/>
    </row>
    <row r="89" spans="1:1" x14ac:dyDescent="0.25">
      <c r="A89" s="8"/>
    </row>
    <row r="90" spans="1:1" x14ac:dyDescent="0.25">
      <c r="A90" s="10"/>
    </row>
  </sheetData>
  <mergeCells count="15">
    <mergeCell ref="C16:E16"/>
    <mergeCell ref="C8:F8"/>
    <mergeCell ref="C9:F9"/>
    <mergeCell ref="C10:F10"/>
    <mergeCell ref="C11:F11"/>
    <mergeCell ref="C12:F12"/>
    <mergeCell ref="C13:F13"/>
    <mergeCell ref="C14:F14"/>
    <mergeCell ref="C15:F15"/>
    <mergeCell ref="A8:A9"/>
    <mergeCell ref="A10:A11"/>
    <mergeCell ref="A12:A13"/>
    <mergeCell ref="A14:A15"/>
    <mergeCell ref="C6:F6"/>
    <mergeCell ref="C7:F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opLeftCell="A10" workbookViewId="0">
      <selection activeCell="D28" sqref="D28"/>
    </sheetView>
  </sheetViews>
  <sheetFormatPr baseColWidth="10" defaultRowHeight="15" x14ac:dyDescent="0.25"/>
  <cols>
    <col min="1" max="1" width="33.5703125" style="5" customWidth="1"/>
    <col min="3" max="3" width="15.7109375" customWidth="1"/>
    <col min="4" max="4" width="17" bestFit="1" customWidth="1"/>
    <col min="5" max="5" width="15.42578125" customWidth="1"/>
    <col min="6" max="6" width="15.7109375" customWidth="1"/>
    <col min="7" max="7" width="72.7109375" customWidth="1"/>
  </cols>
  <sheetData>
    <row r="1" spans="1:6" x14ac:dyDescent="0.25">
      <c r="C1" t="s">
        <v>61</v>
      </c>
    </row>
    <row r="4" spans="1:6" x14ac:dyDescent="0.25">
      <c r="A4" s="1" t="s">
        <v>2</v>
      </c>
    </row>
    <row r="5" spans="1:6" x14ac:dyDescent="0.25">
      <c r="A5" s="15" t="s">
        <v>59</v>
      </c>
    </row>
    <row r="6" spans="1:6" x14ac:dyDescent="0.25">
      <c r="C6" s="124" t="s">
        <v>76</v>
      </c>
      <c r="D6" s="124"/>
      <c r="E6" s="124"/>
      <c r="F6" s="124"/>
    </row>
    <row r="7" spans="1:6" x14ac:dyDescent="0.25">
      <c r="A7" s="24" t="s">
        <v>37</v>
      </c>
      <c r="B7" s="85">
        <f>'Synthèse SAFRAN'!B4</f>
        <v>1.3</v>
      </c>
      <c r="C7" s="124" t="s">
        <v>0</v>
      </c>
      <c r="D7" s="124"/>
      <c r="E7" s="124"/>
      <c r="F7" s="124"/>
    </row>
    <row r="8" spans="1:6" x14ac:dyDescent="0.25">
      <c r="A8" s="98" t="s">
        <v>70</v>
      </c>
      <c r="B8" s="81" t="s">
        <v>75</v>
      </c>
      <c r="C8" s="125">
        <f>[4]Scénario!$F$7+[4]Scénario!$F$16</f>
        <v>1743.2776593511448</v>
      </c>
      <c r="D8" s="126"/>
      <c r="E8" s="126"/>
      <c r="F8" s="127"/>
    </row>
    <row r="9" spans="1:6" x14ac:dyDescent="0.25">
      <c r="A9" s="98"/>
      <c r="B9" s="81" t="s">
        <v>74</v>
      </c>
      <c r="C9" s="128">
        <f>[4]Scénario!$F$20/[4]Scénario!$F$7</f>
        <v>1</v>
      </c>
      <c r="D9" s="129"/>
      <c r="E9" s="129"/>
      <c r="F9" s="130"/>
    </row>
    <row r="10" spans="1:6" x14ac:dyDescent="0.25">
      <c r="A10" s="98" t="s">
        <v>71</v>
      </c>
      <c r="B10" s="81" t="s">
        <v>75</v>
      </c>
      <c r="C10" s="125"/>
      <c r="D10" s="126"/>
      <c r="E10" s="126"/>
      <c r="F10" s="127"/>
    </row>
    <row r="11" spans="1:6" x14ac:dyDescent="0.25">
      <c r="A11" s="98"/>
      <c r="B11" s="81" t="s">
        <v>74</v>
      </c>
      <c r="C11" s="128"/>
      <c r="D11" s="129"/>
      <c r="E11" s="129"/>
      <c r="F11" s="130"/>
    </row>
    <row r="12" spans="1:6" x14ac:dyDescent="0.25">
      <c r="A12" s="98" t="s">
        <v>72</v>
      </c>
      <c r="B12" s="81" t="s">
        <v>75</v>
      </c>
      <c r="C12" s="125">
        <f>[4]Scénario!$F$10+[4]Scénario!$F$17</f>
        <v>2525.6903640267174</v>
      </c>
      <c r="D12" s="126"/>
      <c r="E12" s="126"/>
      <c r="F12" s="127"/>
    </row>
    <row r="13" spans="1:6" x14ac:dyDescent="0.25">
      <c r="A13" s="98"/>
      <c r="B13" s="81" t="s">
        <v>74</v>
      </c>
      <c r="C13" s="128">
        <f>[4]Scénario!$F$23/[4]Scénario!$F$10</f>
        <v>0.6</v>
      </c>
      <c r="D13" s="129"/>
      <c r="E13" s="129"/>
      <c r="F13" s="130"/>
    </row>
    <row r="14" spans="1:6" x14ac:dyDescent="0.25">
      <c r="A14" s="98" t="s">
        <v>73</v>
      </c>
      <c r="B14" s="81" t="s">
        <v>75</v>
      </c>
      <c r="C14" s="125"/>
      <c r="D14" s="126"/>
      <c r="E14" s="126"/>
      <c r="F14" s="127"/>
    </row>
    <row r="15" spans="1:6" x14ac:dyDescent="0.25">
      <c r="A15" s="98"/>
      <c r="B15" s="81" t="s">
        <v>74</v>
      </c>
      <c r="C15" s="128"/>
      <c r="D15" s="129"/>
      <c r="E15" s="129"/>
      <c r="F15" s="130"/>
    </row>
    <row r="16" spans="1:6" x14ac:dyDescent="0.25">
      <c r="C16" s="93" t="s">
        <v>80</v>
      </c>
      <c r="D16" s="94"/>
      <c r="E16" s="95"/>
      <c r="F16" s="40">
        <f>[4]Exploitation!$G$8</f>
        <v>3926.2084278714792</v>
      </c>
    </row>
    <row r="17" spans="1:8" x14ac:dyDescent="0.25">
      <c r="C17" s="25" t="s">
        <v>14</v>
      </c>
      <c r="D17" s="25" t="s">
        <v>15</v>
      </c>
      <c r="E17" s="25" t="s">
        <v>16</v>
      </c>
      <c r="F17" s="25" t="s">
        <v>19</v>
      </c>
      <c r="G17" s="17" t="s">
        <v>23</v>
      </c>
    </row>
    <row r="18" spans="1:8" x14ac:dyDescent="0.25">
      <c r="B18" s="3" t="s">
        <v>1</v>
      </c>
      <c r="C18" s="3"/>
      <c r="D18" s="3"/>
      <c r="E18" s="3"/>
      <c r="F18" s="3"/>
    </row>
    <row r="19" spans="1:8" x14ac:dyDescent="0.25">
      <c r="A19" s="8" t="s">
        <v>5</v>
      </c>
      <c r="C19" s="3"/>
      <c r="D19" s="4">
        <f>'[4]Données PAMCHR'!$G$210*'[4]Données gestion'!$H$15*(1+2/3*3.5%)</f>
        <v>1973792.0300000003</v>
      </c>
      <c r="E19" s="19">
        <f>C19+D19*eurodol</f>
        <v>2565929.6390000004</v>
      </c>
      <c r="F19" s="21">
        <f>E19/$F$16/1000</f>
        <v>0.65353882406876485</v>
      </c>
      <c r="G19" t="s">
        <v>51</v>
      </c>
    </row>
    <row r="20" spans="1:8" x14ac:dyDescent="0.25">
      <c r="A20" s="8"/>
      <c r="C20" s="3"/>
      <c r="D20" s="3"/>
      <c r="E20" s="19"/>
      <c r="F20" s="21"/>
    </row>
    <row r="21" spans="1:8" x14ac:dyDescent="0.25">
      <c r="A21" s="8" t="s">
        <v>21</v>
      </c>
      <c r="C21" s="3"/>
      <c r="D21" s="4">
        <f>'[4]Données Investissement'!$I$65+'[4]Données Investissement'!$N$26*1000*1000</f>
        <v>2212000</v>
      </c>
      <c r="E21" s="19">
        <f>C21+D21*eurodol</f>
        <v>2875600</v>
      </c>
      <c r="F21" s="21">
        <f t="shared" ref="F21:F48" si="0">E21/$F$16/1000</f>
        <v>0.73241144804911762</v>
      </c>
      <c r="G21" t="s">
        <v>27</v>
      </c>
    </row>
    <row r="22" spans="1:8" x14ac:dyDescent="0.25">
      <c r="A22" s="8"/>
      <c r="C22" s="3"/>
      <c r="D22" s="3"/>
      <c r="E22" s="19"/>
      <c r="F22" s="21"/>
    </row>
    <row r="23" spans="1:8" x14ac:dyDescent="0.25">
      <c r="A23" s="8" t="s">
        <v>6</v>
      </c>
      <c r="C23" s="3"/>
      <c r="D23" s="4">
        <f>('[4]Données PAMCHR'!$H$232+'[4]Données PAMCHR'!$H$233+'[4]Données VAR'!$H$105+'[4]Données VAR'!$H$106+'[4]Données VAR'!$H$107)*'[4]Données gestion'!$H$25</f>
        <v>2274407.5520806932</v>
      </c>
      <c r="E23" s="19">
        <f>C23+D23*eurodol</f>
        <v>2956729.8177049011</v>
      </c>
      <c r="F23" s="21">
        <f t="shared" si="0"/>
        <v>0.75307510337851247</v>
      </c>
      <c r="G23" t="s">
        <v>52</v>
      </c>
    </row>
    <row r="24" spans="1:8" x14ac:dyDescent="0.25">
      <c r="A24" s="9"/>
      <c r="C24" s="3"/>
      <c r="D24" s="3"/>
      <c r="E24" s="19"/>
      <c r="F24" s="21"/>
    </row>
    <row r="25" spans="1:8" ht="135" x14ac:dyDescent="0.25">
      <c r="A25" s="5" t="s">
        <v>28</v>
      </c>
      <c r="C25" s="3"/>
      <c r="D25" s="4">
        <f>'[4]Données PAMCHR'!$D$243+'[4]Données PAMCHR'!$H$257+'[4]Données VAR'!$I$75+'[4]Données VAR'!$H$114+'[4]Données VAR'!$H$120+[4]Exploitation!$G$19+'[4]Données gestion'!$I$50-'[4]Données gestion'!$H$115</f>
        <v>3075359.7247379054</v>
      </c>
      <c r="E25" s="19">
        <f>C25+D25*eurodol</f>
        <v>3997967.6421592771</v>
      </c>
      <c r="F25" s="21">
        <f t="shared" si="0"/>
        <v>1.0182769752564309</v>
      </c>
      <c r="G25" s="26" t="s">
        <v>63</v>
      </c>
    </row>
    <row r="26" spans="1:8" x14ac:dyDescent="0.25">
      <c r="A26" s="8"/>
      <c r="C26" s="3"/>
      <c r="D26" s="3"/>
      <c r="E26" s="19"/>
      <c r="F26" s="21"/>
      <c r="H26" s="27"/>
    </row>
    <row r="27" spans="1:8" x14ac:dyDescent="0.25">
      <c r="A27" s="8" t="s">
        <v>7</v>
      </c>
      <c r="C27" s="3"/>
      <c r="D27" s="3"/>
      <c r="E27" s="19"/>
      <c r="F27" s="21"/>
    </row>
    <row r="28" spans="1:8" x14ac:dyDescent="0.25">
      <c r="A28" s="23" t="s">
        <v>8</v>
      </c>
      <c r="B28" s="16">
        <f>[4]Scénario!$F$7+[4]Scénario!$F$10+[4]Scénario!$F$16+[4]Scénario!$F$17</f>
        <v>4268.9680233778618</v>
      </c>
      <c r="C28" s="4">
        <f>([4]Scénario!$F$20+[4]Scénario!$F$23+[4]Scénario!$F$25+[4]Scénario!$F$26)*1000</f>
        <v>3258691.877767175</v>
      </c>
      <c r="D28" s="19">
        <f>C28/eurodol</f>
        <v>2506686.0598209039</v>
      </c>
      <c r="E28" s="19">
        <f>C28</f>
        <v>3258691.877767175</v>
      </c>
      <c r="F28" s="21">
        <f t="shared" si="0"/>
        <v>0.82998443348913453</v>
      </c>
      <c r="G28" t="s">
        <v>25</v>
      </c>
    </row>
    <row r="29" spans="1:8" x14ac:dyDescent="0.25">
      <c r="A29" s="23" t="s">
        <v>3</v>
      </c>
      <c r="B29" s="16">
        <f>'[4]Données PAMCHR'!$H$148</f>
        <v>787.0949241900156</v>
      </c>
      <c r="C29" s="4">
        <f>B29*'[4]Données Matières'!$AC$52*1000</f>
        <v>7870949.2419001563</v>
      </c>
      <c r="D29" s="19">
        <f>C29/eurodol</f>
        <v>6054576.3399231965</v>
      </c>
      <c r="E29" s="19">
        <f>C29</f>
        <v>7870949.2419001563</v>
      </c>
      <c r="F29" s="21">
        <f t="shared" si="0"/>
        <v>2.004720173800667</v>
      </c>
      <c r="G29" t="s">
        <v>24</v>
      </c>
    </row>
    <row r="30" spans="1:8" x14ac:dyDescent="0.25">
      <c r="A30" s="23" t="s">
        <v>9</v>
      </c>
      <c r="B30" s="16">
        <f>'[4]Données PAMCHR'!$H$152+'[4]Données PAMCHR'!$H$153</f>
        <v>86.580441660901727</v>
      </c>
      <c r="C30" s="18"/>
      <c r="D30" s="4">
        <f>'[4]Données PAMCHR'!$K$176</f>
        <v>1516810.6284065791</v>
      </c>
      <c r="E30" s="19">
        <f>C30+D30*eurodol</f>
        <v>1971853.8169285529</v>
      </c>
      <c r="F30" s="21">
        <f t="shared" si="0"/>
        <v>0.50222851210106456</v>
      </c>
    </row>
    <row r="31" spans="1:8" x14ac:dyDescent="0.25">
      <c r="A31" s="8"/>
      <c r="C31" s="3"/>
      <c r="D31" s="3"/>
      <c r="E31" s="19"/>
      <c r="F31" s="21"/>
    </row>
    <row r="32" spans="1:8" x14ac:dyDescent="0.25">
      <c r="A32" s="8" t="s">
        <v>17</v>
      </c>
      <c r="C32" s="3"/>
      <c r="D32" s="4">
        <f>'[4]Données PAMCHR'!$K$180</f>
        <v>5852604.9142423961</v>
      </c>
      <c r="E32" s="19">
        <f>C32+D32*eurodol</f>
        <v>7608386.3885151148</v>
      </c>
      <c r="F32" s="21">
        <f t="shared" si="0"/>
        <v>1.9378457685803143</v>
      </c>
      <c r="G32" t="s">
        <v>29</v>
      </c>
    </row>
    <row r="33" spans="1:7" x14ac:dyDescent="0.25">
      <c r="A33" s="8"/>
      <c r="C33" s="3"/>
      <c r="D33" s="3"/>
      <c r="E33" s="19"/>
      <c r="F33" s="21"/>
    </row>
    <row r="34" spans="1:7" x14ac:dyDescent="0.25">
      <c r="A34" s="8" t="s">
        <v>18</v>
      </c>
      <c r="C34" s="3"/>
      <c r="D34" s="4">
        <f>'[4]Données PAMCHR'!$K$181</f>
        <v>777473.65102815069</v>
      </c>
      <c r="E34" s="19">
        <f>C34+D34*eurodol</f>
        <v>1010715.746336596</v>
      </c>
      <c r="F34" s="21">
        <f t="shared" si="0"/>
        <v>0.2574279396788256</v>
      </c>
      <c r="G34" t="s">
        <v>30</v>
      </c>
    </row>
    <row r="35" spans="1:7" x14ac:dyDescent="0.25">
      <c r="A35" s="8"/>
      <c r="C35" s="3"/>
      <c r="D35" s="3"/>
      <c r="E35" s="19"/>
      <c r="F35" s="21"/>
    </row>
    <row r="36" spans="1:7" x14ac:dyDescent="0.25">
      <c r="A36" s="11" t="s">
        <v>10</v>
      </c>
      <c r="C36" s="3"/>
      <c r="D36" s="4">
        <f>[4]Exploitation!$G$41</f>
        <v>3734985.294285831</v>
      </c>
      <c r="E36" s="19">
        <f>C36+D36*eurodol</f>
        <v>4855480.8825715808</v>
      </c>
      <c r="F36" s="21">
        <f t="shared" si="0"/>
        <v>1.2366844429611419</v>
      </c>
      <c r="G36" t="s">
        <v>53</v>
      </c>
    </row>
    <row r="37" spans="1:7" x14ac:dyDescent="0.25">
      <c r="C37" s="3"/>
      <c r="D37" s="3"/>
      <c r="E37" s="19"/>
      <c r="F37" s="21"/>
    </row>
    <row r="38" spans="1:7" x14ac:dyDescent="0.25">
      <c r="A38" s="11" t="s">
        <v>11</v>
      </c>
      <c r="C38" s="3"/>
      <c r="D38" s="4">
        <f>'[4]Données Investissement'!$H$78</f>
        <v>1161200</v>
      </c>
      <c r="E38" s="19">
        <f>C38+D38*eurodol</f>
        <v>1509560</v>
      </c>
      <c r="F38" s="21">
        <f t="shared" si="0"/>
        <v>0.3844828994008298</v>
      </c>
      <c r="G38" t="s">
        <v>26</v>
      </c>
    </row>
    <row r="39" spans="1:7" x14ac:dyDescent="0.25">
      <c r="A39" s="12"/>
      <c r="C39" s="3"/>
      <c r="D39" s="3"/>
      <c r="E39" s="19"/>
      <c r="F39" s="21"/>
    </row>
    <row r="40" spans="1:7" x14ac:dyDescent="0.25">
      <c r="A40" s="12" t="s">
        <v>33</v>
      </c>
      <c r="C40" s="3"/>
      <c r="D40" s="4">
        <f>[4]Exploitation!$G$25-'[4]Données gestion'!$E$70</f>
        <v>1205000.5833333335</v>
      </c>
      <c r="E40" s="19">
        <f>C40+D40*eurodol</f>
        <v>1566500.7583333335</v>
      </c>
      <c r="F40" s="21">
        <f t="shared" si="0"/>
        <v>0.39898563387848024</v>
      </c>
      <c r="G40" t="s">
        <v>32</v>
      </c>
    </row>
    <row r="41" spans="1:7" x14ac:dyDescent="0.25">
      <c r="A41" s="12"/>
      <c r="C41" s="3"/>
      <c r="D41" s="3"/>
      <c r="E41" s="19"/>
      <c r="F41" s="21"/>
    </row>
    <row r="42" spans="1:7" x14ac:dyDescent="0.25">
      <c r="A42" s="11" t="s">
        <v>22</v>
      </c>
      <c r="C42" s="3"/>
      <c r="D42" s="4">
        <f>'[4]Données Investissement'!$N$27*1000*1000</f>
        <v>1250333.3333333333</v>
      </c>
      <c r="E42" s="19">
        <f>C42+D42*eurodol</f>
        <v>1625433.3333333333</v>
      </c>
      <c r="F42" s="21">
        <f t="shared" si="0"/>
        <v>0.41399568137918025</v>
      </c>
      <c r="G42" t="s">
        <v>31</v>
      </c>
    </row>
    <row r="43" spans="1:7" x14ac:dyDescent="0.25">
      <c r="A43" s="11"/>
      <c r="C43" s="3"/>
      <c r="D43" s="3"/>
      <c r="E43" s="19"/>
      <c r="F43" s="21"/>
    </row>
    <row r="44" spans="1:7" x14ac:dyDescent="0.25">
      <c r="A44" s="11" t="s">
        <v>49</v>
      </c>
      <c r="C44" s="3"/>
      <c r="D44" s="4">
        <f>'[4]Données gestion'!$I$86+'[4]Données gestion'!$I$58</f>
        <v>400000</v>
      </c>
      <c r="E44" s="19">
        <f>C44+D44*eurodol</f>
        <v>520000</v>
      </c>
      <c r="F44" s="21">
        <f t="shared" si="0"/>
        <v>0.13244329982805023</v>
      </c>
    </row>
    <row r="45" spans="1:7" x14ac:dyDescent="0.25">
      <c r="A45" s="11"/>
      <c r="C45" s="3"/>
      <c r="D45" s="3"/>
      <c r="E45" s="19"/>
      <c r="F45" s="21"/>
    </row>
    <row r="46" spans="1:7" x14ac:dyDescent="0.25">
      <c r="A46" s="11" t="s">
        <v>12</v>
      </c>
      <c r="C46" s="3"/>
      <c r="D46" s="4">
        <f>'[4]Données gestion'!$H$115</f>
        <v>88750</v>
      </c>
      <c r="E46" s="19">
        <f>C46+D46*eurodol</f>
        <v>115375</v>
      </c>
      <c r="F46" s="21">
        <f t="shared" si="0"/>
        <v>2.9385857149348642E-2</v>
      </c>
    </row>
    <row r="47" spans="1:7" x14ac:dyDescent="0.25">
      <c r="A47" s="11"/>
      <c r="C47" s="3"/>
      <c r="D47" s="3"/>
      <c r="E47" s="19"/>
      <c r="F47" s="21"/>
    </row>
    <row r="48" spans="1:7" x14ac:dyDescent="0.25">
      <c r="A48" s="11" t="s">
        <v>13</v>
      </c>
      <c r="C48" s="3"/>
      <c r="D48" s="4">
        <f>'[4]Données gestion'!$E$70+'[4]Données gestion'!$I$61-'[4]Données gestion'!$I$58</f>
        <v>714973.58700724645</v>
      </c>
      <c r="E48" s="19">
        <f>C48+D48*eurodol</f>
        <v>929465.66310942045</v>
      </c>
      <c r="F48" s="21">
        <f t="shared" si="0"/>
        <v>0.23673365288284323</v>
      </c>
      <c r="G48" t="s">
        <v>34</v>
      </c>
    </row>
    <row r="49" spans="1:7" x14ac:dyDescent="0.25">
      <c r="A49" s="11"/>
      <c r="D49" s="28">
        <f>SUM(D18:D48)-D36</f>
        <v>31063968.40391374</v>
      </c>
      <c r="E49" s="28">
        <f>SUM(E18:E48)-E36</f>
        <v>40383158.925087869</v>
      </c>
      <c r="F49" s="22"/>
    </row>
    <row r="50" spans="1:7" x14ac:dyDescent="0.25">
      <c r="A50" s="11"/>
      <c r="E50" s="20"/>
      <c r="F50" s="22"/>
      <c r="G50" s="22"/>
    </row>
    <row r="51" spans="1:7" x14ac:dyDescent="0.25">
      <c r="A51" s="29" t="s">
        <v>66</v>
      </c>
      <c r="B51" s="30"/>
      <c r="C51" s="30"/>
      <c r="D51" s="30"/>
      <c r="E51" s="30"/>
      <c r="F51" s="31"/>
    </row>
    <row r="52" spans="1:7" x14ac:dyDescent="0.25">
      <c r="A52" s="32" t="s">
        <v>54</v>
      </c>
      <c r="B52" s="33"/>
      <c r="C52" s="33"/>
      <c r="D52" s="33"/>
      <c r="E52" s="33"/>
      <c r="F52" s="34">
        <f>F28+F29+F30+F32+F34</f>
        <v>5.5322068276500058</v>
      </c>
      <c r="G52" s="22"/>
    </row>
    <row r="53" spans="1:7" x14ac:dyDescent="0.25">
      <c r="A53" s="32" t="s">
        <v>55</v>
      </c>
      <c r="B53" s="33"/>
      <c r="C53" s="33"/>
      <c r="D53" s="33"/>
      <c r="E53" s="33"/>
      <c r="F53" s="34">
        <f>F19+F23+F25+F38+F46</f>
        <v>2.8387596592538871</v>
      </c>
      <c r="G53" s="22"/>
    </row>
    <row r="54" spans="1:7" x14ac:dyDescent="0.25">
      <c r="A54" s="32" t="s">
        <v>56</v>
      </c>
      <c r="B54" s="33"/>
      <c r="C54" s="33"/>
      <c r="D54" s="33"/>
      <c r="E54" s="33"/>
      <c r="F54" s="34">
        <f>F21+F40+F42+F44+F48</f>
        <v>1.9145697160176716</v>
      </c>
      <c r="G54" s="22"/>
    </row>
    <row r="55" spans="1:7" x14ac:dyDescent="0.25">
      <c r="A55" s="35" t="s">
        <v>57</v>
      </c>
      <c r="B55" s="33"/>
      <c r="C55" s="33"/>
      <c r="D55" s="33"/>
      <c r="E55" s="33"/>
      <c r="F55" s="34">
        <f>SUM(F52:F54)</f>
        <v>10.285536202921564</v>
      </c>
      <c r="G55" s="22"/>
    </row>
    <row r="56" spans="1:7" x14ac:dyDescent="0.25">
      <c r="A56" s="36" t="s">
        <v>58</v>
      </c>
      <c r="B56" s="37"/>
      <c r="C56" s="37"/>
      <c r="D56" s="37"/>
      <c r="E56" s="37"/>
      <c r="F56" s="38">
        <f>F36</f>
        <v>1.2366844429611419</v>
      </c>
    </row>
    <row r="57" spans="1:7" x14ac:dyDescent="0.25">
      <c r="A57" s="11"/>
    </row>
    <row r="58" spans="1:7" x14ac:dyDescent="0.25">
      <c r="A58" s="11" t="s">
        <v>35</v>
      </c>
      <c r="E58" s="2">
        <f>[4]Scénario!$F$2*1000</f>
        <v>77694530.746399999</v>
      </c>
      <c r="F58" s="22">
        <f>E58/F16/1000</f>
        <v>19.788692366625234</v>
      </c>
      <c r="G58" t="s">
        <v>36</v>
      </c>
    </row>
    <row r="59" spans="1:7" x14ac:dyDescent="0.25">
      <c r="A59" s="11"/>
    </row>
    <row r="60" spans="1:7" x14ac:dyDescent="0.25">
      <c r="A60" s="11"/>
    </row>
    <row r="61" spans="1:7" x14ac:dyDescent="0.25">
      <c r="A61" s="11"/>
    </row>
    <row r="62" spans="1:7" x14ac:dyDescent="0.25">
      <c r="A62" s="11"/>
    </row>
    <row r="63" spans="1:7" x14ac:dyDescent="0.25">
      <c r="A63" s="11"/>
    </row>
    <row r="64" spans="1:7" x14ac:dyDescent="0.25">
      <c r="A64" s="11"/>
    </row>
    <row r="65" spans="1:1" x14ac:dyDescent="0.25">
      <c r="A65" s="11"/>
    </row>
    <row r="66" spans="1:1" x14ac:dyDescent="0.25">
      <c r="A66" s="11"/>
    </row>
    <row r="67" spans="1:1" x14ac:dyDescent="0.25">
      <c r="A67" s="11"/>
    </row>
    <row r="68" spans="1:1" x14ac:dyDescent="0.25">
      <c r="A68" s="11"/>
    </row>
    <row r="69" spans="1:1" x14ac:dyDescent="0.25">
      <c r="A69" s="11"/>
    </row>
    <row r="70" spans="1:1" x14ac:dyDescent="0.25">
      <c r="A70" s="11"/>
    </row>
    <row r="71" spans="1:1" x14ac:dyDescent="0.25">
      <c r="A71" s="11"/>
    </row>
    <row r="72" spans="1:1" x14ac:dyDescent="0.25">
      <c r="A72" s="11"/>
    </row>
    <row r="73" spans="1:1" x14ac:dyDescent="0.25">
      <c r="A73" s="11"/>
    </row>
    <row r="74" spans="1:1" x14ac:dyDescent="0.25">
      <c r="A74" s="11"/>
    </row>
    <row r="75" spans="1:1" x14ac:dyDescent="0.25">
      <c r="A75" s="11"/>
    </row>
    <row r="76" spans="1:1" x14ac:dyDescent="0.25">
      <c r="A76" s="11"/>
    </row>
    <row r="77" spans="1:1" x14ac:dyDescent="0.25">
      <c r="A77" s="11"/>
    </row>
    <row r="78" spans="1:1" x14ac:dyDescent="0.25">
      <c r="A78" s="11"/>
    </row>
    <row r="79" spans="1:1" x14ac:dyDescent="0.25">
      <c r="A79" s="11"/>
    </row>
    <row r="80" spans="1:1" x14ac:dyDescent="0.25">
      <c r="A80" s="8"/>
    </row>
    <row r="81" spans="1:1" x14ac:dyDescent="0.25">
      <c r="A81" s="8"/>
    </row>
    <row r="82" spans="1:1" x14ac:dyDescent="0.25">
      <c r="A82" s="8"/>
    </row>
    <row r="83" spans="1:1" x14ac:dyDescent="0.25">
      <c r="A83" s="8"/>
    </row>
    <row r="84" spans="1:1" x14ac:dyDescent="0.25">
      <c r="A84" s="8"/>
    </row>
    <row r="85" spans="1:1" x14ac:dyDescent="0.25">
      <c r="A85" s="8"/>
    </row>
    <row r="86" spans="1:1" x14ac:dyDescent="0.25">
      <c r="A86" s="8"/>
    </row>
    <row r="87" spans="1:1" x14ac:dyDescent="0.25">
      <c r="A87" s="8"/>
    </row>
    <row r="88" spans="1:1" x14ac:dyDescent="0.25">
      <c r="A88" s="8"/>
    </row>
    <row r="89" spans="1:1" x14ac:dyDescent="0.25">
      <c r="A89" s="8"/>
    </row>
    <row r="90" spans="1:1" x14ac:dyDescent="0.25">
      <c r="A90" s="10"/>
    </row>
  </sheetData>
  <mergeCells count="15">
    <mergeCell ref="C16:E16"/>
    <mergeCell ref="C8:F8"/>
    <mergeCell ref="C9:F9"/>
    <mergeCell ref="C10:F10"/>
    <mergeCell ref="C11:F11"/>
    <mergeCell ref="C12:F12"/>
    <mergeCell ref="C13:F13"/>
    <mergeCell ref="C14:F14"/>
    <mergeCell ref="C15:F15"/>
    <mergeCell ref="A8:A9"/>
    <mergeCell ref="A10:A11"/>
    <mergeCell ref="A12:A13"/>
    <mergeCell ref="A14:A15"/>
    <mergeCell ref="C6:F6"/>
    <mergeCell ref="C7:F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opLeftCell="A16" workbookViewId="0">
      <selection activeCell="D25" sqref="D25"/>
    </sheetView>
  </sheetViews>
  <sheetFormatPr baseColWidth="10" defaultRowHeight="15" x14ac:dyDescent="0.25"/>
  <cols>
    <col min="1" max="1" width="33.5703125" style="5" customWidth="1"/>
    <col min="3" max="3" width="15.7109375" customWidth="1"/>
    <col min="4" max="4" width="17" bestFit="1" customWidth="1"/>
    <col min="5" max="5" width="15.42578125" customWidth="1"/>
    <col min="6" max="6" width="15.7109375" customWidth="1"/>
    <col min="7" max="7" width="72.7109375" customWidth="1"/>
  </cols>
  <sheetData>
    <row r="1" spans="1:6" x14ac:dyDescent="0.25">
      <c r="C1" t="s">
        <v>104</v>
      </c>
    </row>
    <row r="4" spans="1:6" x14ac:dyDescent="0.25">
      <c r="A4" s="1" t="s">
        <v>2</v>
      </c>
    </row>
    <row r="5" spans="1:6" x14ac:dyDescent="0.25">
      <c r="A5" s="15" t="s">
        <v>59</v>
      </c>
    </row>
    <row r="6" spans="1:6" x14ac:dyDescent="0.25">
      <c r="C6" s="124" t="s">
        <v>77</v>
      </c>
      <c r="D6" s="124"/>
      <c r="E6" s="124"/>
      <c r="F6" s="124"/>
    </row>
    <row r="7" spans="1:6" x14ac:dyDescent="0.25">
      <c r="A7" s="24" t="s">
        <v>37</v>
      </c>
      <c r="B7" s="85">
        <f>'Synthèse SAFRAN'!B4</f>
        <v>1.3</v>
      </c>
      <c r="C7" s="124" t="s">
        <v>0</v>
      </c>
      <c r="D7" s="124"/>
      <c r="E7" s="124"/>
      <c r="F7" s="124"/>
    </row>
    <row r="8" spans="1:6" x14ac:dyDescent="0.25">
      <c r="A8" s="98" t="s">
        <v>70</v>
      </c>
      <c r="B8" s="81" t="s">
        <v>75</v>
      </c>
      <c r="C8" s="125">
        <f>[3]Scénario!$F$7</f>
        <v>0</v>
      </c>
      <c r="D8" s="126"/>
      <c r="E8" s="126"/>
      <c r="F8" s="127"/>
    </row>
    <row r="9" spans="1:6" x14ac:dyDescent="0.25">
      <c r="A9" s="98"/>
      <c r="B9" s="81" t="s">
        <v>74</v>
      </c>
      <c r="C9" s="128"/>
      <c r="D9" s="129"/>
      <c r="E9" s="129"/>
      <c r="F9" s="130"/>
    </row>
    <row r="10" spans="1:6" x14ac:dyDescent="0.25">
      <c r="A10" s="98" t="s">
        <v>71</v>
      </c>
      <c r="B10" s="81" t="s">
        <v>75</v>
      </c>
      <c r="C10" s="125">
        <f>[3]Scénario!$F$16</f>
        <v>0</v>
      </c>
      <c r="D10" s="126"/>
      <c r="E10" s="126"/>
      <c r="F10" s="127"/>
    </row>
    <row r="11" spans="1:6" x14ac:dyDescent="0.25">
      <c r="A11" s="98"/>
      <c r="B11" s="81" t="s">
        <v>74</v>
      </c>
      <c r="C11" s="128"/>
      <c r="D11" s="129"/>
      <c r="E11" s="129"/>
      <c r="F11" s="130"/>
    </row>
    <row r="12" spans="1:6" x14ac:dyDescent="0.25">
      <c r="A12" s="98" t="s">
        <v>72</v>
      </c>
      <c r="B12" s="81" t="s">
        <v>75</v>
      </c>
      <c r="C12" s="125">
        <f>[3]Scénario!$F$10+[3]Scénario!$F$17</f>
        <v>4617.6235552480921</v>
      </c>
      <c r="D12" s="126"/>
      <c r="E12" s="126"/>
      <c r="F12" s="127"/>
    </row>
    <row r="13" spans="1:6" x14ac:dyDescent="0.25">
      <c r="A13" s="98"/>
      <c r="B13" s="81" t="s">
        <v>74</v>
      </c>
      <c r="C13" s="128">
        <f>[3]Scénario!$F$23/[3]Scénario!$F$10</f>
        <v>0.6</v>
      </c>
      <c r="D13" s="129"/>
      <c r="E13" s="129"/>
      <c r="F13" s="130"/>
    </row>
    <row r="14" spans="1:6" x14ac:dyDescent="0.25">
      <c r="A14" s="98" t="s">
        <v>73</v>
      </c>
      <c r="B14" s="81" t="s">
        <v>75</v>
      </c>
      <c r="C14" s="125"/>
      <c r="D14" s="126"/>
      <c r="E14" s="126"/>
      <c r="F14" s="127"/>
    </row>
    <row r="15" spans="1:6" x14ac:dyDescent="0.25">
      <c r="A15" s="98"/>
      <c r="B15" s="81" t="s">
        <v>74</v>
      </c>
      <c r="C15" s="128"/>
      <c r="D15" s="129"/>
      <c r="E15" s="129"/>
      <c r="F15" s="130"/>
    </row>
    <row r="16" spans="1:6" x14ac:dyDescent="0.25">
      <c r="C16" s="124" t="s">
        <v>80</v>
      </c>
      <c r="D16" s="124"/>
      <c r="E16" s="124"/>
      <c r="F16" s="40">
        <f>'[3]Exploitation année pleine'!$G$8</f>
        <v>3926.2084278714792</v>
      </c>
    </row>
    <row r="17" spans="1:8" x14ac:dyDescent="0.25">
      <c r="C17" s="25" t="s">
        <v>14</v>
      </c>
      <c r="D17" s="25" t="s">
        <v>15</v>
      </c>
      <c r="E17" s="25" t="s">
        <v>16</v>
      </c>
      <c r="F17" s="25" t="s">
        <v>19</v>
      </c>
      <c r="G17" s="17" t="s">
        <v>23</v>
      </c>
    </row>
    <row r="18" spans="1:8" x14ac:dyDescent="0.25">
      <c r="B18" s="3" t="s">
        <v>1</v>
      </c>
      <c r="C18" s="3"/>
      <c r="D18" s="3"/>
      <c r="E18" s="3"/>
      <c r="F18" s="3"/>
    </row>
    <row r="19" spans="1:8" x14ac:dyDescent="0.25">
      <c r="A19" s="8" t="s">
        <v>5</v>
      </c>
      <c r="C19" s="3"/>
      <c r="D19" s="4">
        <f>'[3]Données PAMCHR'!$G$210*'[3]Données gestion'!$H$15*(1+2/3*3.5%)</f>
        <v>1973792.0300000003</v>
      </c>
      <c r="E19" s="19">
        <f>C19+D19*eurodol</f>
        <v>2565929.6390000004</v>
      </c>
      <c r="F19" s="21">
        <f>E19/$F$16/1000</f>
        <v>0.65353882406876485</v>
      </c>
      <c r="G19" t="s">
        <v>51</v>
      </c>
    </row>
    <row r="20" spans="1:8" x14ac:dyDescent="0.25">
      <c r="A20" s="8"/>
      <c r="C20" s="3"/>
      <c r="D20" s="3"/>
      <c r="E20" s="19"/>
      <c r="F20" s="21"/>
    </row>
    <row r="21" spans="1:8" x14ac:dyDescent="0.25">
      <c r="A21" s="8" t="s">
        <v>21</v>
      </c>
      <c r="C21" s="3"/>
      <c r="D21" s="4">
        <f>'[3]Données Investissement'!$I$65+'[3]Données Investissement'!$N$26*1000*1000</f>
        <v>2212000</v>
      </c>
      <c r="E21" s="19">
        <f>C21+D21*eurodol</f>
        <v>2875600</v>
      </c>
      <c r="F21" s="21">
        <f t="shared" ref="F21:F48" si="0">E21/$F$16/1000</f>
        <v>0.73241144804911762</v>
      </c>
      <c r="G21" t="s">
        <v>27</v>
      </c>
    </row>
    <row r="22" spans="1:8" x14ac:dyDescent="0.25">
      <c r="A22" s="8"/>
      <c r="C22" s="3"/>
      <c r="D22" s="3"/>
      <c r="E22" s="19"/>
      <c r="F22" s="21"/>
    </row>
    <row r="23" spans="1:8" x14ac:dyDescent="0.25">
      <c r="A23" s="8" t="s">
        <v>6</v>
      </c>
      <c r="C23" s="3"/>
      <c r="D23" s="4">
        <f>('[3]Données PAMCHR'!$H$232+'[3]Données PAMCHR'!$H$233+'[3]Données VAR'!$H$105+'[3]Données VAR'!$H$106+'[3]Données VAR'!$H$107)*'[3]Données gestion'!$H$25</f>
        <v>2274407.5520806932</v>
      </c>
      <c r="E23" s="19">
        <f>C23+D23*eurodol</f>
        <v>2956729.8177049011</v>
      </c>
      <c r="F23" s="21">
        <f t="shared" si="0"/>
        <v>0.75307510337851247</v>
      </c>
      <c r="G23" t="s">
        <v>52</v>
      </c>
    </row>
    <row r="24" spans="1:8" x14ac:dyDescent="0.25">
      <c r="A24" s="9"/>
      <c r="C24" s="3"/>
      <c r="D24" s="3"/>
      <c r="E24" s="19"/>
      <c r="F24" s="21"/>
    </row>
    <row r="25" spans="1:8" ht="135" x14ac:dyDescent="0.25">
      <c r="A25" s="5" t="s">
        <v>28</v>
      </c>
      <c r="C25" s="3"/>
      <c r="D25" s="4">
        <f>'[3]Données PAMCHR'!$D$243+'[3]Données PAMCHR'!$H$257+'[3]Données VAR'!$I$75+'[3]Données VAR'!$H$114+'[3]Données VAR'!$H$120+[3]Exploitation!$G$19+'[3]Données gestion'!$I$50-'[3]Données gestion'!$H$115</f>
        <v>1407596.1601499999</v>
      </c>
      <c r="E25" s="19">
        <f>C25+D25*eurodol</f>
        <v>1829875.008195</v>
      </c>
      <c r="F25" s="21">
        <f t="shared" si="0"/>
        <v>0.46606670068889661</v>
      </c>
      <c r="G25" s="26" t="s">
        <v>64</v>
      </c>
    </row>
    <row r="26" spans="1:8" x14ac:dyDescent="0.25">
      <c r="A26" s="8"/>
      <c r="C26" s="3"/>
      <c r="D26" s="3"/>
      <c r="E26" s="19"/>
      <c r="F26" s="21"/>
      <c r="H26" s="27"/>
    </row>
    <row r="27" spans="1:8" x14ac:dyDescent="0.25">
      <c r="A27" s="8" t="s">
        <v>7</v>
      </c>
      <c r="C27" s="3"/>
      <c r="D27" s="3"/>
      <c r="E27" s="19"/>
      <c r="F27" s="21"/>
    </row>
    <row r="28" spans="1:8" x14ac:dyDescent="0.25">
      <c r="A28" s="23" t="s">
        <v>8</v>
      </c>
      <c r="B28" s="16">
        <f>[3]Scénario!$F$7+[3]Scénario!$F$10+[3]Scénario!$F$16+[3]Scénario!$F$17</f>
        <v>4617.6235552480921</v>
      </c>
      <c r="C28" s="4">
        <f>([3]Scénario!$F$20+[3]Scénario!$F$23+[3]Scénario!$F$25+[3]Scénario!$F$26)*1000</f>
        <v>2770574.1331488551</v>
      </c>
      <c r="D28" s="19">
        <f>C28/eurodol</f>
        <v>2131210.8716529654</v>
      </c>
      <c r="E28" s="19">
        <f>C28</f>
        <v>2770574.1331488551</v>
      </c>
      <c r="F28" s="21">
        <f t="shared" si="0"/>
        <v>0.70566150117783488</v>
      </c>
      <c r="G28" t="s">
        <v>25</v>
      </c>
    </row>
    <row r="29" spans="1:8" x14ac:dyDescent="0.25">
      <c r="A29" s="23" t="s">
        <v>3</v>
      </c>
      <c r="B29" s="16">
        <f>'[3]Données PAMCHR'!$H$148</f>
        <v>787.0949241900156</v>
      </c>
      <c r="C29" s="4">
        <f>B29*'[3]Données Matières'!$AC$52*1000</f>
        <v>7870949.2419001563</v>
      </c>
      <c r="D29" s="19">
        <f>C29/eurodol</f>
        <v>6054576.3399231965</v>
      </c>
      <c r="E29" s="19">
        <f>C29</f>
        <v>7870949.2419001563</v>
      </c>
      <c r="F29" s="21">
        <f t="shared" si="0"/>
        <v>2.004720173800667</v>
      </c>
      <c r="G29" t="s">
        <v>24</v>
      </c>
    </row>
    <row r="30" spans="1:8" x14ac:dyDescent="0.25">
      <c r="A30" s="23" t="s">
        <v>9</v>
      </c>
      <c r="B30" s="16">
        <f>'[3]Données PAMCHR'!$H$152+'[3]Données PAMCHR'!$H$153</f>
        <v>86.580441660901727</v>
      </c>
      <c r="C30" s="18"/>
      <c r="D30" s="4">
        <f>'[3]Données PAMCHR'!$K$176</f>
        <v>1516810.6284065791</v>
      </c>
      <c r="E30" s="19">
        <f>C30+D30*eurodol</f>
        <v>1971853.8169285529</v>
      </c>
      <c r="F30" s="21">
        <f t="shared" si="0"/>
        <v>0.50222851210106456</v>
      </c>
    </row>
    <row r="31" spans="1:8" x14ac:dyDescent="0.25">
      <c r="A31" s="8"/>
      <c r="C31" s="3"/>
      <c r="D31" s="3"/>
      <c r="E31" s="19"/>
      <c r="F31" s="21"/>
    </row>
    <row r="32" spans="1:8" x14ac:dyDescent="0.25">
      <c r="A32" s="8" t="s">
        <v>17</v>
      </c>
      <c r="C32" s="3"/>
      <c r="D32" s="4">
        <f>'[3]Données PAMCHR'!$K$180</f>
        <v>7512926.6036223033</v>
      </c>
      <c r="E32" s="19">
        <f>C32+D32*eurodol</f>
        <v>9766804.5847089943</v>
      </c>
      <c r="F32" s="21">
        <f t="shared" si="0"/>
        <v>2.4875919768742092</v>
      </c>
      <c r="G32" t="s">
        <v>29</v>
      </c>
    </row>
    <row r="33" spans="1:7" x14ac:dyDescent="0.25">
      <c r="A33" s="8"/>
      <c r="C33" s="3"/>
      <c r="D33" s="3"/>
      <c r="E33" s="19"/>
      <c r="F33" s="21"/>
    </row>
    <row r="34" spans="1:7" x14ac:dyDescent="0.25">
      <c r="A34" s="8" t="s">
        <v>18</v>
      </c>
      <c r="C34" s="3"/>
      <c r="D34" s="4">
        <f>'[3]Données PAMCHR'!$K$181</f>
        <v>1038965.2999308193</v>
      </c>
      <c r="E34" s="19">
        <f>C34+D34*eurodol</f>
        <v>1350654.8899100651</v>
      </c>
      <c r="F34" s="21">
        <f t="shared" si="0"/>
        <v>0.34400998182419407</v>
      </c>
      <c r="G34" t="s">
        <v>30</v>
      </c>
    </row>
    <row r="35" spans="1:7" x14ac:dyDescent="0.25">
      <c r="A35" s="8"/>
      <c r="C35" s="3"/>
      <c r="D35" s="3"/>
      <c r="E35" s="19"/>
      <c r="F35" s="21"/>
    </row>
    <row r="36" spans="1:7" x14ac:dyDescent="0.25">
      <c r="A36" s="11" t="s">
        <v>10</v>
      </c>
      <c r="C36" s="3"/>
      <c r="D36" s="4">
        <f>[3]Exploitation!$G$41</f>
        <v>3904068.5104934229</v>
      </c>
      <c r="E36" s="19">
        <f>C36+D36*eurodol</f>
        <v>5075289.0636414494</v>
      </c>
      <c r="F36" s="21">
        <f t="shared" si="0"/>
        <v>1.2926692907113244</v>
      </c>
      <c r="G36" t="s">
        <v>53</v>
      </c>
    </row>
    <row r="37" spans="1:7" x14ac:dyDescent="0.25">
      <c r="C37" s="3"/>
      <c r="D37" s="3"/>
      <c r="E37" s="19"/>
      <c r="F37" s="21"/>
    </row>
    <row r="38" spans="1:7" x14ac:dyDescent="0.25">
      <c r="A38" s="11" t="s">
        <v>11</v>
      </c>
      <c r="C38" s="3"/>
      <c r="D38" s="4">
        <f>'[3]Données Investissement'!$H$78</f>
        <v>1161200</v>
      </c>
      <c r="E38" s="19">
        <f>C38+D38*eurodol</f>
        <v>1509560</v>
      </c>
      <c r="F38" s="21">
        <f t="shared" si="0"/>
        <v>0.3844828994008298</v>
      </c>
      <c r="G38" t="s">
        <v>26</v>
      </c>
    </row>
    <row r="39" spans="1:7" x14ac:dyDescent="0.25">
      <c r="A39" s="12"/>
      <c r="C39" s="3"/>
      <c r="D39" s="3"/>
      <c r="E39" s="19"/>
      <c r="F39" s="21"/>
    </row>
    <row r="40" spans="1:7" x14ac:dyDescent="0.25">
      <c r="A40" s="12" t="s">
        <v>33</v>
      </c>
      <c r="C40" s="3"/>
      <c r="D40" s="4">
        <f>[3]Exploitation!$G$25-'[3]Données gestion'!$E$70</f>
        <v>1205000.5833333335</v>
      </c>
      <c r="E40" s="19">
        <f>C40+D40*eurodol</f>
        <v>1566500.7583333335</v>
      </c>
      <c r="F40" s="21">
        <f t="shared" si="0"/>
        <v>0.39898563387848024</v>
      </c>
      <c r="G40" t="s">
        <v>32</v>
      </c>
    </row>
    <row r="41" spans="1:7" x14ac:dyDescent="0.25">
      <c r="A41" s="12"/>
      <c r="C41" s="3"/>
      <c r="D41" s="3"/>
      <c r="E41" s="19"/>
      <c r="F41" s="21"/>
    </row>
    <row r="42" spans="1:7" x14ac:dyDescent="0.25">
      <c r="A42" s="11" t="s">
        <v>22</v>
      </c>
      <c r="C42" s="3"/>
      <c r="D42" s="4">
        <f>'[3]Données Investissement'!$N$27*1000*1000</f>
        <v>1250333.3333333333</v>
      </c>
      <c r="E42" s="19">
        <f>C42+D42*eurodol</f>
        <v>1625433.3333333333</v>
      </c>
      <c r="F42" s="21">
        <f t="shared" si="0"/>
        <v>0.41399568137918025</v>
      </c>
      <c r="G42" t="s">
        <v>31</v>
      </c>
    </row>
    <row r="43" spans="1:7" x14ac:dyDescent="0.25">
      <c r="A43" s="11"/>
      <c r="C43" s="3"/>
      <c r="D43" s="3"/>
      <c r="E43" s="19"/>
      <c r="F43" s="21"/>
    </row>
    <row r="44" spans="1:7" x14ac:dyDescent="0.25">
      <c r="A44" s="11" t="s">
        <v>49</v>
      </c>
      <c r="C44" s="3"/>
      <c r="D44" s="4">
        <f>'[3]Données gestion'!$I$86+'[3]Données gestion'!$I$58</f>
        <v>400000</v>
      </c>
      <c r="E44" s="19">
        <f>C44+D44*eurodol</f>
        <v>520000</v>
      </c>
      <c r="F44" s="21">
        <f t="shared" si="0"/>
        <v>0.13244329982805023</v>
      </c>
    </row>
    <row r="45" spans="1:7" x14ac:dyDescent="0.25">
      <c r="A45" s="11"/>
      <c r="C45" s="3"/>
      <c r="D45" s="3"/>
      <c r="E45" s="19"/>
      <c r="F45" s="21"/>
    </row>
    <row r="46" spans="1:7" x14ac:dyDescent="0.25">
      <c r="A46" s="11" t="s">
        <v>12</v>
      </c>
      <c r="C46" s="3"/>
      <c r="D46" s="4">
        <f>'[3]Données gestion'!$H$115</f>
        <v>88750</v>
      </c>
      <c r="E46" s="19">
        <f>C46+D46*eurodol</f>
        <v>115375</v>
      </c>
      <c r="F46" s="21">
        <f t="shared" si="0"/>
        <v>2.9385857149348642E-2</v>
      </c>
    </row>
    <row r="47" spans="1:7" x14ac:dyDescent="0.25">
      <c r="A47" s="11"/>
      <c r="C47" s="3"/>
      <c r="D47" s="3"/>
      <c r="E47" s="19"/>
      <c r="F47" s="21"/>
    </row>
    <row r="48" spans="1:7" x14ac:dyDescent="0.25">
      <c r="A48" s="11" t="s">
        <v>13</v>
      </c>
      <c r="C48" s="3"/>
      <c r="D48" s="4">
        <f>'[3]Données gestion'!$E$70+'[3]Données gestion'!$I$61-'[3]Données gestion'!$I$58</f>
        <v>714973.58700724645</v>
      </c>
      <c r="E48" s="19">
        <f>C48+D48*eurodol</f>
        <v>929465.66310942045</v>
      </c>
      <c r="F48" s="21">
        <f t="shared" si="0"/>
        <v>0.23673365288284323</v>
      </c>
      <c r="G48" t="s">
        <v>34</v>
      </c>
    </row>
    <row r="49" spans="1:7" x14ac:dyDescent="0.25">
      <c r="A49" s="11"/>
      <c r="D49" s="28">
        <f>SUM(D18:D48)-D36</f>
        <v>30942542.989440467</v>
      </c>
      <c r="E49" s="28">
        <f>SUM(E18:E48)-E36</f>
        <v>40225305.886272617</v>
      </c>
      <c r="F49" s="22"/>
    </row>
    <row r="50" spans="1:7" x14ac:dyDescent="0.25">
      <c r="A50" s="11"/>
      <c r="E50" s="20"/>
      <c r="F50" s="22"/>
      <c r="G50" s="22"/>
    </row>
    <row r="51" spans="1:7" x14ac:dyDescent="0.25">
      <c r="A51" s="29" t="s">
        <v>67</v>
      </c>
      <c r="B51" s="30"/>
      <c r="C51" s="30"/>
      <c r="D51" s="30"/>
      <c r="E51" s="30"/>
      <c r="F51" s="31"/>
    </row>
    <row r="52" spans="1:7" x14ac:dyDescent="0.25">
      <c r="A52" s="32" t="s">
        <v>54</v>
      </c>
      <c r="B52" s="33"/>
      <c r="C52" s="33"/>
      <c r="D52" s="33"/>
      <c r="E52" s="33"/>
      <c r="F52" s="34">
        <f>F28+F29+F30+F32+F34</f>
        <v>6.0442121457779701</v>
      </c>
      <c r="G52" s="22"/>
    </row>
    <row r="53" spans="1:7" x14ac:dyDescent="0.25">
      <c r="A53" s="32" t="s">
        <v>55</v>
      </c>
      <c r="B53" s="33"/>
      <c r="C53" s="33"/>
      <c r="D53" s="33"/>
      <c r="E53" s="33"/>
      <c r="F53" s="34">
        <f>F19+F23+F25+F38+F46</f>
        <v>2.2865493846863525</v>
      </c>
      <c r="G53" s="22"/>
    </row>
    <row r="54" spans="1:7" x14ac:dyDescent="0.25">
      <c r="A54" s="32" t="s">
        <v>56</v>
      </c>
      <c r="B54" s="33"/>
      <c r="C54" s="33"/>
      <c r="D54" s="33"/>
      <c r="E54" s="33"/>
      <c r="F54" s="34">
        <f>F21+F40+F42+F44+F48</f>
        <v>1.9145697160176716</v>
      </c>
      <c r="G54" s="22"/>
    </row>
    <row r="55" spans="1:7" x14ac:dyDescent="0.25">
      <c r="A55" s="35" t="s">
        <v>57</v>
      </c>
      <c r="B55" s="33"/>
      <c r="C55" s="33"/>
      <c r="D55" s="33"/>
      <c r="E55" s="33"/>
      <c r="F55" s="34">
        <f>SUM(F52:F54)</f>
        <v>10.245331246481994</v>
      </c>
      <c r="G55" s="22"/>
    </row>
    <row r="56" spans="1:7" x14ac:dyDescent="0.25">
      <c r="A56" s="36" t="s">
        <v>58</v>
      </c>
      <c r="B56" s="37"/>
      <c r="C56" s="37"/>
      <c r="D56" s="37"/>
      <c r="E56" s="37"/>
      <c r="F56" s="38">
        <f>F36</f>
        <v>1.2926692907113244</v>
      </c>
    </row>
    <row r="57" spans="1:7" x14ac:dyDescent="0.25">
      <c r="A57" s="11"/>
    </row>
    <row r="58" spans="1:7" x14ac:dyDescent="0.25">
      <c r="A58" s="11" t="s">
        <v>35</v>
      </c>
      <c r="E58" s="2">
        <f>[3]Scénario!$F$2*1000</f>
        <v>77694530.746399999</v>
      </c>
      <c r="F58" s="22">
        <f>E58/F16/1000</f>
        <v>19.788692366625234</v>
      </c>
      <c r="G58" t="s">
        <v>36</v>
      </c>
    </row>
    <row r="59" spans="1:7" x14ac:dyDescent="0.25">
      <c r="A59" s="11"/>
    </row>
    <row r="60" spans="1:7" x14ac:dyDescent="0.25">
      <c r="A60" s="11"/>
    </row>
    <row r="61" spans="1:7" x14ac:dyDescent="0.25">
      <c r="A61" s="11"/>
    </row>
    <row r="62" spans="1:7" x14ac:dyDescent="0.25">
      <c r="A62" s="11"/>
    </row>
    <row r="63" spans="1:7" x14ac:dyDescent="0.25">
      <c r="A63" s="11"/>
    </row>
    <row r="64" spans="1:7" x14ac:dyDescent="0.25">
      <c r="A64" s="11"/>
    </row>
    <row r="65" spans="1:1" x14ac:dyDescent="0.25">
      <c r="A65" s="11"/>
    </row>
    <row r="66" spans="1:1" x14ac:dyDescent="0.25">
      <c r="A66" s="11"/>
    </row>
    <row r="67" spans="1:1" x14ac:dyDescent="0.25">
      <c r="A67" s="11"/>
    </row>
    <row r="68" spans="1:1" x14ac:dyDescent="0.25">
      <c r="A68" s="11"/>
    </row>
    <row r="69" spans="1:1" x14ac:dyDescent="0.25">
      <c r="A69" s="11"/>
    </row>
    <row r="70" spans="1:1" x14ac:dyDescent="0.25">
      <c r="A70" s="11"/>
    </row>
    <row r="71" spans="1:1" x14ac:dyDescent="0.25">
      <c r="A71" s="11"/>
    </row>
    <row r="72" spans="1:1" x14ac:dyDescent="0.25">
      <c r="A72" s="11"/>
    </row>
    <row r="73" spans="1:1" x14ac:dyDescent="0.25">
      <c r="A73" s="11"/>
    </row>
    <row r="74" spans="1:1" x14ac:dyDescent="0.25">
      <c r="A74" s="11"/>
    </row>
    <row r="75" spans="1:1" x14ac:dyDescent="0.25">
      <c r="A75" s="11"/>
    </row>
    <row r="76" spans="1:1" x14ac:dyDescent="0.25">
      <c r="A76" s="11"/>
    </row>
    <row r="77" spans="1:1" x14ac:dyDescent="0.25">
      <c r="A77" s="11"/>
    </row>
    <row r="78" spans="1:1" x14ac:dyDescent="0.25">
      <c r="A78" s="11"/>
    </row>
    <row r="79" spans="1:1" x14ac:dyDescent="0.25">
      <c r="A79" s="11"/>
    </row>
    <row r="80" spans="1:1" x14ac:dyDescent="0.25">
      <c r="A80" s="8"/>
    </row>
    <row r="81" spans="1:1" x14ac:dyDescent="0.25">
      <c r="A81" s="8"/>
    </row>
    <row r="82" spans="1:1" x14ac:dyDescent="0.25">
      <c r="A82" s="8"/>
    </row>
    <row r="83" spans="1:1" x14ac:dyDescent="0.25">
      <c r="A83" s="8"/>
    </row>
    <row r="84" spans="1:1" x14ac:dyDescent="0.25">
      <c r="A84" s="8"/>
    </row>
    <row r="85" spans="1:1" x14ac:dyDescent="0.25">
      <c r="A85" s="8"/>
    </row>
    <row r="86" spans="1:1" x14ac:dyDescent="0.25">
      <c r="A86" s="8"/>
    </row>
    <row r="87" spans="1:1" x14ac:dyDescent="0.25">
      <c r="A87" s="8"/>
    </row>
    <row r="88" spans="1:1" x14ac:dyDescent="0.25">
      <c r="A88" s="8"/>
    </row>
    <row r="89" spans="1:1" x14ac:dyDescent="0.25">
      <c r="A89" s="8"/>
    </row>
    <row r="90" spans="1:1" x14ac:dyDescent="0.25">
      <c r="A90" s="10"/>
    </row>
  </sheetData>
  <mergeCells count="15">
    <mergeCell ref="C16:E16"/>
    <mergeCell ref="C8:F8"/>
    <mergeCell ref="C9:F9"/>
    <mergeCell ref="C10:F10"/>
    <mergeCell ref="C11:F11"/>
    <mergeCell ref="C12:F12"/>
    <mergeCell ref="C13:F13"/>
    <mergeCell ref="C14:F14"/>
    <mergeCell ref="C15:F15"/>
    <mergeCell ref="A8:A9"/>
    <mergeCell ref="A10:A11"/>
    <mergeCell ref="A12:A13"/>
    <mergeCell ref="A14:A15"/>
    <mergeCell ref="C6:F6"/>
    <mergeCell ref="C7:F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opLeftCell="A16" workbookViewId="0">
      <selection activeCell="D32" sqref="D32"/>
    </sheetView>
  </sheetViews>
  <sheetFormatPr baseColWidth="10" defaultRowHeight="15" x14ac:dyDescent="0.25"/>
  <cols>
    <col min="1" max="1" width="33.5703125" style="5" customWidth="1"/>
    <col min="3" max="3" width="15.7109375" customWidth="1"/>
    <col min="4" max="4" width="17" bestFit="1" customWidth="1"/>
    <col min="5" max="5" width="15.42578125" customWidth="1"/>
    <col min="6" max="6" width="15.7109375" customWidth="1"/>
    <col min="7" max="7" width="72.7109375" customWidth="1"/>
  </cols>
  <sheetData>
    <row r="1" spans="1:6" x14ac:dyDescent="0.25">
      <c r="C1" t="s">
        <v>65</v>
      </c>
    </row>
    <row r="4" spans="1:6" x14ac:dyDescent="0.25">
      <c r="A4" s="1" t="s">
        <v>2</v>
      </c>
    </row>
    <row r="5" spans="1:6" x14ac:dyDescent="0.25">
      <c r="A5" s="15" t="s">
        <v>59</v>
      </c>
    </row>
    <row r="6" spans="1:6" x14ac:dyDescent="0.25">
      <c r="C6" s="124" t="s">
        <v>78</v>
      </c>
      <c r="D6" s="124"/>
      <c r="E6" s="124"/>
      <c r="F6" s="124"/>
    </row>
    <row r="7" spans="1:6" x14ac:dyDescent="0.25">
      <c r="A7" s="24" t="s">
        <v>37</v>
      </c>
      <c r="B7" s="85">
        <f>'Synthèse SAFRAN'!B4</f>
        <v>1.3</v>
      </c>
      <c r="C7" s="124" t="s">
        <v>0</v>
      </c>
      <c r="D7" s="124"/>
      <c r="E7" s="124"/>
      <c r="F7" s="124"/>
    </row>
    <row r="8" spans="1:6" x14ac:dyDescent="0.25">
      <c r="A8" s="98" t="s">
        <v>70</v>
      </c>
      <c r="B8" s="81" t="s">
        <v>75</v>
      </c>
      <c r="C8" s="125"/>
      <c r="D8" s="126"/>
      <c r="E8" s="126"/>
      <c r="F8" s="127"/>
    </row>
    <row r="9" spans="1:6" x14ac:dyDescent="0.25">
      <c r="A9" s="98"/>
      <c r="B9" s="81" t="s">
        <v>74</v>
      </c>
      <c r="C9" s="128"/>
      <c r="D9" s="129"/>
      <c r="E9" s="129"/>
      <c r="F9" s="130"/>
    </row>
    <row r="10" spans="1:6" x14ac:dyDescent="0.25">
      <c r="A10" s="98" t="s">
        <v>71</v>
      </c>
      <c r="B10" s="81" t="s">
        <v>75</v>
      </c>
      <c r="C10" s="125">
        <f>[5]Scénario!$F$16+[5]Scénario!$F$7</f>
        <v>1743.2776593511448</v>
      </c>
      <c r="D10" s="126"/>
      <c r="E10" s="126"/>
      <c r="F10" s="127"/>
    </row>
    <row r="11" spans="1:6" x14ac:dyDescent="0.25">
      <c r="A11" s="98"/>
      <c r="B11" s="81" t="s">
        <v>74</v>
      </c>
      <c r="C11" s="128">
        <f>[5]Scénario!$F$25/[5]Scénario!$F$16</f>
        <v>9.4125999999999994</v>
      </c>
      <c r="D11" s="129"/>
      <c r="E11" s="129"/>
      <c r="F11" s="130"/>
    </row>
    <row r="12" spans="1:6" x14ac:dyDescent="0.25">
      <c r="A12" s="98" t="s">
        <v>72</v>
      </c>
      <c r="B12" s="81" t="s">
        <v>75</v>
      </c>
      <c r="C12" s="125"/>
      <c r="D12" s="126"/>
      <c r="E12" s="126"/>
      <c r="F12" s="127"/>
    </row>
    <row r="13" spans="1:6" x14ac:dyDescent="0.25">
      <c r="A13" s="98"/>
      <c r="B13" s="81" t="s">
        <v>74</v>
      </c>
      <c r="C13" s="128"/>
      <c r="D13" s="129"/>
      <c r="E13" s="129"/>
      <c r="F13" s="130"/>
    </row>
    <row r="14" spans="1:6" x14ac:dyDescent="0.25">
      <c r="A14" s="98" t="s">
        <v>73</v>
      </c>
      <c r="B14" s="81" t="s">
        <v>75</v>
      </c>
      <c r="C14" s="125">
        <f>[5]Scénario!$F$17+[5]Scénario!$F$10</f>
        <v>2525.6903640267174</v>
      </c>
      <c r="D14" s="126"/>
      <c r="E14" s="126"/>
      <c r="F14" s="127"/>
    </row>
    <row r="15" spans="1:6" x14ac:dyDescent="0.25">
      <c r="A15" s="98"/>
      <c r="B15" s="81" t="s">
        <v>74</v>
      </c>
      <c r="C15" s="128">
        <f>[5]Scénario!$F$26/[5]Scénario!$F$17</f>
        <v>4.9540000000000006</v>
      </c>
      <c r="D15" s="129"/>
      <c r="E15" s="129"/>
      <c r="F15" s="130"/>
    </row>
    <row r="16" spans="1:6" x14ac:dyDescent="0.25">
      <c r="C16" s="124" t="s">
        <v>80</v>
      </c>
      <c r="D16" s="124"/>
      <c r="E16" s="124"/>
      <c r="F16" s="40">
        <f>[5]Exploitation!$G$8</f>
        <v>3926.2084278714792</v>
      </c>
    </row>
    <row r="17" spans="1:8" x14ac:dyDescent="0.25">
      <c r="C17" s="39" t="s">
        <v>14</v>
      </c>
      <c r="D17" s="39" t="s">
        <v>15</v>
      </c>
      <c r="E17" s="39" t="s">
        <v>16</v>
      </c>
      <c r="F17" s="39" t="s">
        <v>19</v>
      </c>
      <c r="G17" s="17" t="s">
        <v>23</v>
      </c>
    </row>
    <row r="18" spans="1:8" x14ac:dyDescent="0.25">
      <c r="B18" s="3" t="s">
        <v>1</v>
      </c>
      <c r="C18" s="3"/>
      <c r="D18" s="3"/>
      <c r="E18" s="3"/>
      <c r="F18" s="3"/>
    </row>
    <row r="19" spans="1:8" x14ac:dyDescent="0.25">
      <c r="A19" s="8" t="s">
        <v>5</v>
      </c>
      <c r="C19" s="3"/>
      <c r="D19" s="4">
        <f>'[5]Données PAMCHR'!$G$210*'[5]Données gestion'!$H$15*(1+2/3*3.5%)</f>
        <v>1973792.0300000003</v>
      </c>
      <c r="E19" s="19">
        <f>C19+D19*eurodol</f>
        <v>2565929.6390000004</v>
      </c>
      <c r="F19" s="21">
        <f>E19/$F$16/1000</f>
        <v>0.65353882406876485</v>
      </c>
      <c r="G19" t="s">
        <v>51</v>
      </c>
    </row>
    <row r="20" spans="1:8" x14ac:dyDescent="0.25">
      <c r="A20" s="8"/>
      <c r="C20" s="3"/>
      <c r="D20" s="3"/>
      <c r="E20" s="19"/>
      <c r="F20" s="21"/>
    </row>
    <row r="21" spans="1:8" x14ac:dyDescent="0.25">
      <c r="A21" s="8" t="s">
        <v>21</v>
      </c>
      <c r="C21" s="3"/>
      <c r="D21" s="4">
        <f>'[5]Données Investissement'!$I$65+'[5]Données Investissement'!$N$26*1000*1000</f>
        <v>2212000</v>
      </c>
      <c r="E21" s="19">
        <f>C21+D21*eurodol</f>
        <v>2875600</v>
      </c>
      <c r="F21" s="21">
        <f t="shared" ref="F21:F48" si="0">E21/$F$16/1000</f>
        <v>0.73241144804911762</v>
      </c>
      <c r="G21" t="s">
        <v>27</v>
      </c>
    </row>
    <row r="22" spans="1:8" x14ac:dyDescent="0.25">
      <c r="A22" s="8"/>
      <c r="C22" s="3"/>
      <c r="D22" s="3"/>
      <c r="E22" s="19"/>
      <c r="F22" s="21"/>
    </row>
    <row r="23" spans="1:8" x14ac:dyDescent="0.25">
      <c r="A23" s="8" t="s">
        <v>6</v>
      </c>
      <c r="C23" s="3"/>
      <c r="D23" s="4">
        <f>('[5]Données PAMCHR'!$H$232+'[5]Données PAMCHR'!$H$233+'[5]Données VAR'!$H$105+'[5]Données VAR'!$H$106+'[5]Données VAR'!$H$107)*'[5]Données gestion'!$H$25</f>
        <v>2274407.5520806932</v>
      </c>
      <c r="E23" s="19">
        <f>C23+D23*eurodol</f>
        <v>2956729.8177049011</v>
      </c>
      <c r="F23" s="21">
        <f t="shared" si="0"/>
        <v>0.75307510337851247</v>
      </c>
      <c r="G23" t="s">
        <v>52</v>
      </c>
    </row>
    <row r="24" spans="1:8" x14ac:dyDescent="0.25">
      <c r="A24" s="9"/>
      <c r="C24" s="3"/>
      <c r="D24" s="3"/>
      <c r="E24" s="19"/>
      <c r="F24" s="21"/>
    </row>
    <row r="25" spans="1:8" ht="135" x14ac:dyDescent="0.25">
      <c r="A25" s="5" t="s">
        <v>28</v>
      </c>
      <c r="C25" s="3"/>
      <c r="D25" s="4">
        <f>'[5]Données PAMCHR'!$D$243+'[5]Données PAMCHR'!$H$257+'[5]Données VAR'!$I$75+'[5]Données VAR'!$H$114+'[5]Données VAR'!$H$120+[5]Exploitation!$G$19+'[5]Données gestion'!$I$50-'[5]Données gestion'!$H$115</f>
        <v>3075359.7247379054</v>
      </c>
      <c r="E25" s="19">
        <f>C25+D25*eurodol</f>
        <v>3997967.6421592771</v>
      </c>
      <c r="F25" s="21">
        <f t="shared" si="0"/>
        <v>1.0182769752564309</v>
      </c>
      <c r="G25" s="26" t="s">
        <v>63</v>
      </c>
    </row>
    <row r="26" spans="1:8" x14ac:dyDescent="0.25">
      <c r="A26" s="8"/>
      <c r="C26" s="3"/>
      <c r="D26" s="3"/>
      <c r="E26" s="19"/>
      <c r="F26" s="21"/>
      <c r="H26" s="27"/>
    </row>
    <row r="27" spans="1:8" x14ac:dyDescent="0.25">
      <c r="A27" s="8" t="s">
        <v>7</v>
      </c>
      <c r="C27" s="3"/>
      <c r="D27" s="3"/>
      <c r="E27" s="19"/>
      <c r="F27" s="21"/>
    </row>
    <row r="28" spans="1:8" x14ac:dyDescent="0.25">
      <c r="A28" s="23" t="s">
        <v>8</v>
      </c>
      <c r="B28" s="16">
        <f>[5]Scénario!$F$7+[5]Scénario!$F$10+[5]Scénario!$F$16+[5]Scénario!$F$17</f>
        <v>4268.9680233778618</v>
      </c>
      <c r="C28" s="4">
        <f>([5]Scénario!$F$20+[5]Scénario!$F$23+[5]Scénario!$F$25+[5]Scénario!$F$26)*1000</f>
        <v>28921045.359796945</v>
      </c>
      <c r="D28" s="19">
        <f>C28/eurodol</f>
        <v>22246957.969074573</v>
      </c>
      <c r="E28" s="19">
        <f>C28</f>
        <v>28921045.359796945</v>
      </c>
      <c r="F28" s="21">
        <f t="shared" si="0"/>
        <v>7.3661513114004373</v>
      </c>
      <c r="G28" t="s">
        <v>25</v>
      </c>
    </row>
    <row r="29" spans="1:8" x14ac:dyDescent="0.25">
      <c r="A29" s="23" t="s">
        <v>3</v>
      </c>
      <c r="B29" s="16">
        <f>'[5]Données PAMCHR'!$H$148</f>
        <v>787.0949241900156</v>
      </c>
      <c r="C29" s="4">
        <f>B29*'[5]Données Matières'!$AC$52*1000</f>
        <v>7870949.2419001563</v>
      </c>
      <c r="D29" s="19">
        <f>C29/eurodol</f>
        <v>6054576.3399231965</v>
      </c>
      <c r="E29" s="19">
        <f>C29</f>
        <v>7870949.2419001563</v>
      </c>
      <c r="F29" s="21">
        <f t="shared" si="0"/>
        <v>2.004720173800667</v>
      </c>
      <c r="G29" t="s">
        <v>24</v>
      </c>
    </row>
    <row r="30" spans="1:8" x14ac:dyDescent="0.25">
      <c r="A30" s="23" t="s">
        <v>9</v>
      </c>
      <c r="B30" s="16">
        <f>'[5]Données PAMCHR'!$H$152+'[5]Données PAMCHR'!$H$153</f>
        <v>86.580441660901727</v>
      </c>
      <c r="C30" s="18"/>
      <c r="D30" s="4">
        <f>'[5]Données PAMCHR'!$K$176</f>
        <v>1516810.6284065791</v>
      </c>
      <c r="E30" s="19">
        <f>C30+D30*eurodol</f>
        <v>1971853.8169285529</v>
      </c>
      <c r="F30" s="21">
        <f t="shared" si="0"/>
        <v>0.50222851210106456</v>
      </c>
    </row>
    <row r="31" spans="1:8" x14ac:dyDescent="0.25">
      <c r="A31" s="8"/>
      <c r="C31" s="3"/>
      <c r="D31" s="3"/>
      <c r="E31" s="19"/>
      <c r="F31" s="21"/>
    </row>
    <row r="32" spans="1:8" x14ac:dyDescent="0.25">
      <c r="A32" s="8" t="s">
        <v>17</v>
      </c>
      <c r="C32" s="3"/>
      <c r="D32" s="4">
        <f>'[5]Données PAMCHR'!$K$180</f>
        <v>5852604.9142423961</v>
      </c>
      <c r="E32" s="19">
        <f>C32+D32*eurodol</f>
        <v>7608386.3885151148</v>
      </c>
      <c r="F32" s="21">
        <f t="shared" si="0"/>
        <v>1.9378457685803143</v>
      </c>
      <c r="G32" t="s">
        <v>29</v>
      </c>
    </row>
    <row r="33" spans="1:7" x14ac:dyDescent="0.25">
      <c r="A33" s="8"/>
      <c r="C33" s="3"/>
      <c r="D33" s="3"/>
      <c r="E33" s="19"/>
      <c r="F33" s="21"/>
    </row>
    <row r="34" spans="1:7" x14ac:dyDescent="0.25">
      <c r="A34" s="8" t="s">
        <v>18</v>
      </c>
      <c r="C34" s="3"/>
      <c r="D34" s="4">
        <f>'[5]Données PAMCHR'!$K$181</f>
        <v>777473.65102814976</v>
      </c>
      <c r="E34" s="19">
        <f>C34+D34*eurodol</f>
        <v>1010715.7463365947</v>
      </c>
      <c r="F34" s="21">
        <f t="shared" si="0"/>
        <v>0.25742793967882527</v>
      </c>
      <c r="G34" t="s">
        <v>30</v>
      </c>
    </row>
    <row r="35" spans="1:7" x14ac:dyDescent="0.25">
      <c r="A35" s="8"/>
      <c r="C35" s="3"/>
      <c r="D35" s="3"/>
      <c r="E35" s="19"/>
      <c r="F35" s="21"/>
    </row>
    <row r="36" spans="1:7" x14ac:dyDescent="0.25">
      <c r="A36" s="11" t="s">
        <v>10</v>
      </c>
      <c r="C36" s="3"/>
      <c r="D36" s="4">
        <f>[5]Exploitation!$G$41</f>
        <v>7531191.4306807667</v>
      </c>
      <c r="E36" s="19">
        <f>C36+D36*eurodol</f>
        <v>9790548.8598849978</v>
      </c>
      <c r="F36" s="21">
        <f t="shared" si="0"/>
        <v>2.4936396117902389</v>
      </c>
      <c r="G36" t="s">
        <v>53</v>
      </c>
    </row>
    <row r="37" spans="1:7" x14ac:dyDescent="0.25">
      <c r="C37" s="3"/>
      <c r="D37" s="3"/>
      <c r="E37" s="19"/>
      <c r="F37" s="21"/>
    </row>
    <row r="38" spans="1:7" x14ac:dyDescent="0.25">
      <c r="A38" s="11" t="s">
        <v>11</v>
      </c>
      <c r="C38" s="3"/>
      <c r="D38" s="4">
        <f>'[5]Données Investissement'!$H$78</f>
        <v>1161200</v>
      </c>
      <c r="E38" s="19">
        <f>C38+D38*eurodol</f>
        <v>1509560</v>
      </c>
      <c r="F38" s="21">
        <f t="shared" si="0"/>
        <v>0.3844828994008298</v>
      </c>
      <c r="G38" t="s">
        <v>26</v>
      </c>
    </row>
    <row r="39" spans="1:7" x14ac:dyDescent="0.25">
      <c r="A39" s="12"/>
      <c r="C39" s="3"/>
      <c r="D39" s="3"/>
      <c r="E39" s="19"/>
      <c r="F39" s="21"/>
    </row>
    <row r="40" spans="1:7" x14ac:dyDescent="0.25">
      <c r="A40" s="12" t="s">
        <v>33</v>
      </c>
      <c r="C40" s="3"/>
      <c r="D40" s="4">
        <f>[5]Exploitation!$G$25-'[5]Données gestion'!$E$70</f>
        <v>1205000.5833333335</v>
      </c>
      <c r="E40" s="19">
        <f>C40+D40*eurodol</f>
        <v>1566500.7583333335</v>
      </c>
      <c r="F40" s="21">
        <f t="shared" si="0"/>
        <v>0.39898563387848024</v>
      </c>
      <c r="G40" t="s">
        <v>32</v>
      </c>
    </row>
    <row r="41" spans="1:7" x14ac:dyDescent="0.25">
      <c r="A41" s="12"/>
      <c r="C41" s="3"/>
      <c r="D41" s="3"/>
      <c r="E41" s="19"/>
      <c r="F41" s="21"/>
    </row>
    <row r="42" spans="1:7" x14ac:dyDescent="0.25">
      <c r="A42" s="11" t="s">
        <v>22</v>
      </c>
      <c r="C42" s="3"/>
      <c r="D42" s="4">
        <f>'[5]Données Investissement'!$N$27*1000*1000</f>
        <v>1250333.3333333333</v>
      </c>
      <c r="E42" s="19">
        <f>C42+D42*eurodol</f>
        <v>1625433.3333333333</v>
      </c>
      <c r="F42" s="21">
        <f t="shared" si="0"/>
        <v>0.41399568137918025</v>
      </c>
      <c r="G42" t="s">
        <v>31</v>
      </c>
    </row>
    <row r="43" spans="1:7" x14ac:dyDescent="0.25">
      <c r="A43" s="11"/>
      <c r="C43" s="3"/>
      <c r="D43" s="3"/>
      <c r="E43" s="19"/>
      <c r="F43" s="21"/>
    </row>
    <row r="44" spans="1:7" x14ac:dyDescent="0.25">
      <c r="A44" s="11" t="s">
        <v>49</v>
      </c>
      <c r="C44" s="3"/>
      <c r="D44" s="4">
        <f>'[5]Données gestion'!$I$86+'[5]Données gestion'!$I$58</f>
        <v>400000</v>
      </c>
      <c r="E44" s="19">
        <f>C44+D44*eurodol</f>
        <v>520000</v>
      </c>
      <c r="F44" s="21">
        <f t="shared" si="0"/>
        <v>0.13244329982805023</v>
      </c>
    </row>
    <row r="45" spans="1:7" x14ac:dyDescent="0.25">
      <c r="A45" s="11"/>
      <c r="C45" s="3"/>
      <c r="D45" s="3"/>
      <c r="E45" s="19"/>
      <c r="F45" s="21"/>
    </row>
    <row r="46" spans="1:7" x14ac:dyDescent="0.25">
      <c r="A46" s="11" t="s">
        <v>12</v>
      </c>
      <c r="C46" s="3"/>
      <c r="D46" s="4">
        <f>'[5]Données gestion'!$H$115</f>
        <v>88750</v>
      </c>
      <c r="E46" s="19">
        <f>C46+D46*eurodol</f>
        <v>115375</v>
      </c>
      <c r="F46" s="21">
        <f t="shared" si="0"/>
        <v>2.9385857149348642E-2</v>
      </c>
    </row>
    <row r="47" spans="1:7" x14ac:dyDescent="0.25">
      <c r="A47" s="11"/>
      <c r="C47" s="3"/>
      <c r="D47" s="3"/>
      <c r="E47" s="19"/>
      <c r="F47" s="21"/>
    </row>
    <row r="48" spans="1:7" x14ac:dyDescent="0.25">
      <c r="A48" s="11" t="s">
        <v>13</v>
      </c>
      <c r="C48" s="3"/>
      <c r="D48" s="4">
        <f>'[5]Données gestion'!$E$70+'[5]Données gestion'!$I$61-'[5]Données gestion'!$I$58</f>
        <v>714973.58700724645</v>
      </c>
      <c r="E48" s="19">
        <f>C48+D48*eurodol</f>
        <v>929465.66310942045</v>
      </c>
      <c r="F48" s="21">
        <f t="shared" si="0"/>
        <v>0.23673365288284323</v>
      </c>
      <c r="G48" t="s">
        <v>34</v>
      </c>
    </row>
    <row r="49" spans="1:7" x14ac:dyDescent="0.25">
      <c r="A49" s="11"/>
      <c r="D49" s="28">
        <f>SUM(D18:D48)-D36</f>
        <v>50804240.313167408</v>
      </c>
      <c r="E49" s="28">
        <f>SUM(E18:E48)-E36</f>
        <v>66045512.407117628</v>
      </c>
      <c r="F49" s="22"/>
    </row>
    <row r="50" spans="1:7" x14ac:dyDescent="0.25">
      <c r="A50" s="11"/>
      <c r="E50" s="20"/>
      <c r="F50" s="22"/>
      <c r="G50" s="22"/>
    </row>
    <row r="51" spans="1:7" x14ac:dyDescent="0.25">
      <c r="A51" s="29" t="s">
        <v>67</v>
      </c>
      <c r="B51" s="30"/>
      <c r="C51" s="30"/>
      <c r="D51" s="30"/>
      <c r="E51" s="30"/>
      <c r="F51" s="31"/>
    </row>
    <row r="52" spans="1:7" x14ac:dyDescent="0.25">
      <c r="A52" s="32" t="s">
        <v>54</v>
      </c>
      <c r="B52" s="33"/>
      <c r="C52" s="33"/>
      <c r="D52" s="33"/>
      <c r="E52" s="33"/>
      <c r="F52" s="34">
        <f>F28+F29+F30+F32+F34</f>
        <v>12.068373705561308</v>
      </c>
      <c r="G52" s="22"/>
    </row>
    <row r="53" spans="1:7" x14ac:dyDescent="0.25">
      <c r="A53" s="32" t="s">
        <v>55</v>
      </c>
      <c r="B53" s="33"/>
      <c r="C53" s="33"/>
      <c r="D53" s="33"/>
      <c r="E53" s="33"/>
      <c r="F53" s="34">
        <f>F19+F23+F25+F38+F46</f>
        <v>2.8387596592538871</v>
      </c>
      <c r="G53" s="22"/>
    </row>
    <row r="54" spans="1:7" x14ac:dyDescent="0.25">
      <c r="A54" s="32" t="s">
        <v>56</v>
      </c>
      <c r="B54" s="33"/>
      <c r="C54" s="33"/>
      <c r="D54" s="33"/>
      <c r="E54" s="33"/>
      <c r="F54" s="34">
        <f>F21+F40+F42+F44+F48</f>
        <v>1.9145697160176716</v>
      </c>
      <c r="G54" s="22"/>
    </row>
    <row r="55" spans="1:7" x14ac:dyDescent="0.25">
      <c r="A55" s="35" t="s">
        <v>57</v>
      </c>
      <c r="B55" s="33"/>
      <c r="C55" s="33"/>
      <c r="D55" s="33"/>
      <c r="E55" s="33"/>
      <c r="F55" s="34">
        <f>SUM(F52:F54)</f>
        <v>16.821703080832865</v>
      </c>
      <c r="G55" s="22"/>
    </row>
    <row r="56" spans="1:7" x14ac:dyDescent="0.25">
      <c r="A56" s="36" t="s">
        <v>58</v>
      </c>
      <c r="B56" s="37"/>
      <c r="C56" s="37"/>
      <c r="D56" s="37"/>
      <c r="E56" s="37"/>
      <c r="F56" s="38">
        <f>F36</f>
        <v>2.4936396117902389</v>
      </c>
    </row>
    <row r="57" spans="1:7" x14ac:dyDescent="0.25">
      <c r="A57" s="11"/>
    </row>
    <row r="58" spans="1:7" x14ac:dyDescent="0.25">
      <c r="A58" s="11" t="s">
        <v>35</v>
      </c>
      <c r="E58" s="2">
        <f>[5]Scénario!$F$2*1000</f>
        <v>77694530.746399999</v>
      </c>
      <c r="F58" s="22">
        <f>E58/F16/1000</f>
        <v>19.788692366625234</v>
      </c>
      <c r="G58" t="s">
        <v>36</v>
      </c>
    </row>
    <row r="59" spans="1:7" x14ac:dyDescent="0.25">
      <c r="A59" s="11"/>
    </row>
    <row r="60" spans="1:7" x14ac:dyDescent="0.25">
      <c r="A60" s="11"/>
    </row>
    <row r="61" spans="1:7" x14ac:dyDescent="0.25">
      <c r="A61" s="11"/>
    </row>
    <row r="62" spans="1:7" x14ac:dyDescent="0.25">
      <c r="A62" s="11"/>
    </row>
    <row r="63" spans="1:7" x14ac:dyDescent="0.25">
      <c r="A63" s="11"/>
    </row>
    <row r="64" spans="1:7" x14ac:dyDescent="0.25">
      <c r="A64" s="11"/>
    </row>
    <row r="65" spans="1:1" x14ac:dyDescent="0.25">
      <c r="A65" s="11"/>
    </row>
    <row r="66" spans="1:1" x14ac:dyDescent="0.25">
      <c r="A66" s="11"/>
    </row>
    <row r="67" spans="1:1" x14ac:dyDescent="0.25">
      <c r="A67" s="11"/>
    </row>
    <row r="68" spans="1:1" x14ac:dyDescent="0.25">
      <c r="A68" s="11"/>
    </row>
    <row r="69" spans="1:1" x14ac:dyDescent="0.25">
      <c r="A69" s="11"/>
    </row>
    <row r="70" spans="1:1" x14ac:dyDescent="0.25">
      <c r="A70" s="11"/>
    </row>
    <row r="71" spans="1:1" x14ac:dyDescent="0.25">
      <c r="A71" s="11"/>
    </row>
    <row r="72" spans="1:1" x14ac:dyDescent="0.25">
      <c r="A72" s="11"/>
    </row>
    <row r="73" spans="1:1" x14ac:dyDescent="0.25">
      <c r="A73" s="11"/>
    </row>
    <row r="74" spans="1:1" x14ac:dyDescent="0.25">
      <c r="A74" s="11"/>
    </row>
    <row r="75" spans="1:1" x14ac:dyDescent="0.25">
      <c r="A75" s="11"/>
    </row>
    <row r="76" spans="1:1" x14ac:dyDescent="0.25">
      <c r="A76" s="11"/>
    </row>
    <row r="77" spans="1:1" x14ac:dyDescent="0.25">
      <c r="A77" s="11"/>
    </row>
    <row r="78" spans="1:1" x14ac:dyDescent="0.25">
      <c r="A78" s="11"/>
    </row>
    <row r="79" spans="1:1" x14ac:dyDescent="0.25">
      <c r="A79" s="11"/>
    </row>
    <row r="80" spans="1:1" x14ac:dyDescent="0.25">
      <c r="A80" s="8"/>
    </row>
    <row r="81" spans="1:1" x14ac:dyDescent="0.25">
      <c r="A81" s="8"/>
    </row>
    <row r="82" spans="1:1" x14ac:dyDescent="0.25">
      <c r="A82" s="8"/>
    </row>
    <row r="83" spans="1:1" x14ac:dyDescent="0.25">
      <c r="A83" s="8"/>
    </row>
    <row r="84" spans="1:1" x14ac:dyDescent="0.25">
      <c r="A84" s="8"/>
    </row>
    <row r="85" spans="1:1" x14ac:dyDescent="0.25">
      <c r="A85" s="8"/>
    </row>
    <row r="86" spans="1:1" x14ac:dyDescent="0.25">
      <c r="A86" s="8"/>
    </row>
    <row r="87" spans="1:1" x14ac:dyDescent="0.25">
      <c r="A87" s="8"/>
    </row>
    <row r="88" spans="1:1" x14ac:dyDescent="0.25">
      <c r="A88" s="8"/>
    </row>
    <row r="89" spans="1:1" x14ac:dyDescent="0.25">
      <c r="A89" s="8"/>
    </row>
    <row r="90" spans="1:1" x14ac:dyDescent="0.25">
      <c r="A90" s="10"/>
    </row>
  </sheetData>
  <mergeCells count="15">
    <mergeCell ref="C6:F6"/>
    <mergeCell ref="C7:F7"/>
    <mergeCell ref="C16:E16"/>
    <mergeCell ref="C8:F8"/>
    <mergeCell ref="C9:F9"/>
    <mergeCell ref="C10:F10"/>
    <mergeCell ref="C11:F11"/>
    <mergeCell ref="C12:F12"/>
    <mergeCell ref="C13:F13"/>
    <mergeCell ref="C14:F14"/>
    <mergeCell ref="A8:A9"/>
    <mergeCell ref="A10:A11"/>
    <mergeCell ref="A12:A13"/>
    <mergeCell ref="A14:A15"/>
    <mergeCell ref="C15:F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activeCell="F55" sqref="F55"/>
    </sheetView>
  </sheetViews>
  <sheetFormatPr baseColWidth="10" defaultRowHeight="15" x14ac:dyDescent="0.25"/>
  <cols>
    <col min="1" max="1" width="33.5703125" style="5" customWidth="1"/>
    <col min="3" max="3" width="15.7109375" customWidth="1"/>
    <col min="4" max="4" width="17" bestFit="1" customWidth="1"/>
    <col min="5" max="5" width="15.42578125" customWidth="1"/>
    <col min="6" max="6" width="15.7109375" customWidth="1"/>
    <col min="7" max="7" width="72.7109375" customWidth="1"/>
  </cols>
  <sheetData>
    <row r="1" spans="1:6" x14ac:dyDescent="0.25">
      <c r="C1" t="s">
        <v>105</v>
      </c>
    </row>
    <row r="4" spans="1:6" x14ac:dyDescent="0.25">
      <c r="A4" s="1" t="s">
        <v>2</v>
      </c>
    </row>
    <row r="5" spans="1:6" x14ac:dyDescent="0.25">
      <c r="A5" s="15" t="s">
        <v>59</v>
      </c>
    </row>
    <row r="6" spans="1:6" x14ac:dyDescent="0.25">
      <c r="C6" s="124" t="s">
        <v>79</v>
      </c>
      <c r="D6" s="124"/>
      <c r="E6" s="124"/>
      <c r="F6" s="124"/>
    </row>
    <row r="7" spans="1:6" x14ac:dyDescent="0.25">
      <c r="A7" s="24" t="s">
        <v>37</v>
      </c>
      <c r="B7" s="85">
        <f>'Synthèse SAFRAN'!B4</f>
        <v>1.3</v>
      </c>
      <c r="C7" s="124" t="s">
        <v>0</v>
      </c>
      <c r="D7" s="124"/>
      <c r="E7" s="124"/>
      <c r="F7" s="124"/>
    </row>
    <row r="8" spans="1:6" x14ac:dyDescent="0.25">
      <c r="A8" s="98" t="s">
        <v>70</v>
      </c>
      <c r="B8" s="81" t="s">
        <v>75</v>
      </c>
      <c r="C8" s="125">
        <f>[6]Scénario!$F$7</f>
        <v>0</v>
      </c>
      <c r="D8" s="126"/>
      <c r="E8" s="126"/>
      <c r="F8" s="127"/>
    </row>
    <row r="9" spans="1:6" x14ac:dyDescent="0.25">
      <c r="A9" s="98"/>
      <c r="B9" s="81" t="s">
        <v>74</v>
      </c>
      <c r="C9" s="128"/>
      <c r="D9" s="129"/>
      <c r="E9" s="129"/>
      <c r="F9" s="130"/>
    </row>
    <row r="10" spans="1:6" x14ac:dyDescent="0.25">
      <c r="A10" s="98" t="s">
        <v>71</v>
      </c>
      <c r="B10" s="81" t="s">
        <v>75</v>
      </c>
      <c r="C10" s="125">
        <f>[6]Scénario!$F$16</f>
        <v>0</v>
      </c>
      <c r="D10" s="126"/>
      <c r="E10" s="126"/>
      <c r="F10" s="127"/>
    </row>
    <row r="11" spans="1:6" x14ac:dyDescent="0.25">
      <c r="A11" s="98"/>
      <c r="B11" s="81" t="s">
        <v>74</v>
      </c>
      <c r="C11" s="128"/>
      <c r="D11" s="129"/>
      <c r="E11" s="129"/>
      <c r="F11" s="130"/>
    </row>
    <row r="12" spans="1:6" x14ac:dyDescent="0.25">
      <c r="A12" s="98" t="s">
        <v>72</v>
      </c>
      <c r="B12" s="81" t="s">
        <v>75</v>
      </c>
      <c r="C12" s="125"/>
      <c r="D12" s="126"/>
      <c r="E12" s="126"/>
      <c r="F12" s="127"/>
    </row>
    <row r="13" spans="1:6" x14ac:dyDescent="0.25">
      <c r="A13" s="98"/>
      <c r="B13" s="81" t="s">
        <v>74</v>
      </c>
      <c r="C13" s="128"/>
      <c r="D13" s="129"/>
      <c r="E13" s="129"/>
      <c r="F13" s="130"/>
    </row>
    <row r="14" spans="1:6" x14ac:dyDescent="0.25">
      <c r="A14" s="98" t="s">
        <v>73</v>
      </c>
      <c r="B14" s="81" t="s">
        <v>75</v>
      </c>
      <c r="C14" s="125">
        <f>[6]Scénario!$F$17+[6]Scénario!$F$10</f>
        <v>4617.6235552480921</v>
      </c>
      <c r="D14" s="126"/>
      <c r="E14" s="126"/>
      <c r="F14" s="127"/>
    </row>
    <row r="15" spans="1:6" x14ac:dyDescent="0.25">
      <c r="A15" s="98"/>
      <c r="B15" s="81" t="s">
        <v>74</v>
      </c>
      <c r="C15" s="128">
        <f>[6]Scénario!$F$26/[6]Scénario!$F$17</f>
        <v>4.9540000000000006</v>
      </c>
      <c r="D15" s="129"/>
      <c r="E15" s="129"/>
      <c r="F15" s="130"/>
    </row>
    <row r="16" spans="1:6" x14ac:dyDescent="0.25">
      <c r="C16" s="124" t="s">
        <v>80</v>
      </c>
      <c r="D16" s="124"/>
      <c r="E16" s="124"/>
      <c r="F16" s="40">
        <f>[6]Exploitation!$G$8</f>
        <v>3926.2084278714792</v>
      </c>
    </row>
    <row r="17" spans="1:8" x14ac:dyDescent="0.25">
      <c r="C17" s="39" t="s">
        <v>14</v>
      </c>
      <c r="D17" s="39" t="s">
        <v>15</v>
      </c>
      <c r="E17" s="39" t="s">
        <v>16</v>
      </c>
      <c r="F17" s="39" t="s">
        <v>19</v>
      </c>
      <c r="G17" s="17" t="s">
        <v>23</v>
      </c>
    </row>
    <row r="18" spans="1:8" x14ac:dyDescent="0.25">
      <c r="B18" s="3" t="s">
        <v>1</v>
      </c>
      <c r="C18" s="3"/>
      <c r="D18" s="3"/>
      <c r="E18" s="3"/>
      <c r="F18" s="3"/>
    </row>
    <row r="19" spans="1:8" x14ac:dyDescent="0.25">
      <c r="A19" s="8" t="s">
        <v>5</v>
      </c>
      <c r="C19" s="3"/>
      <c r="D19" s="4">
        <f>'[6]Données PAMCHR'!$G$210*'[6]Données gestion'!$H$15*(1+2/3*3.5%)</f>
        <v>1973792.0300000003</v>
      </c>
      <c r="E19" s="19">
        <f>C19+D19*eurodol</f>
        <v>2565929.6390000004</v>
      </c>
      <c r="F19" s="21">
        <f>E19/$F$16/1000</f>
        <v>0.65353882406876485</v>
      </c>
      <c r="G19" t="s">
        <v>51</v>
      </c>
    </row>
    <row r="20" spans="1:8" x14ac:dyDescent="0.25">
      <c r="A20" s="8"/>
      <c r="C20" s="3"/>
      <c r="D20" s="3"/>
      <c r="E20" s="19"/>
      <c r="F20" s="21"/>
    </row>
    <row r="21" spans="1:8" x14ac:dyDescent="0.25">
      <c r="A21" s="8" t="s">
        <v>21</v>
      </c>
      <c r="C21" s="3"/>
      <c r="D21" s="4">
        <f>'[6]Données Investissement'!$I$65+'[6]Données Investissement'!$N$26*1000*1000</f>
        <v>2212000</v>
      </c>
      <c r="E21" s="19">
        <f>C21+D21*eurodol</f>
        <v>2875600</v>
      </c>
      <c r="F21" s="21">
        <f t="shared" ref="F21:F48" si="0">E21/$F$16/1000</f>
        <v>0.73241144804911762</v>
      </c>
      <c r="G21" t="s">
        <v>27</v>
      </c>
    </row>
    <row r="22" spans="1:8" x14ac:dyDescent="0.25">
      <c r="A22" s="8"/>
      <c r="C22" s="3"/>
      <c r="D22" s="3"/>
      <c r="E22" s="19"/>
      <c r="F22" s="21"/>
    </row>
    <row r="23" spans="1:8" x14ac:dyDescent="0.25">
      <c r="A23" s="8" t="s">
        <v>6</v>
      </c>
      <c r="C23" s="3"/>
      <c r="D23" s="4">
        <f>('[6]Données PAMCHR'!$H$232+'[6]Données PAMCHR'!$H$233+'[6]Données VAR'!$H$105+'[6]Données VAR'!$H$106+'[6]Données VAR'!$H$107)*'[6]Données gestion'!$H$25</f>
        <v>2274407.5520806932</v>
      </c>
      <c r="E23" s="19">
        <f>C23+D23*eurodol</f>
        <v>2956729.8177049011</v>
      </c>
      <c r="F23" s="21">
        <f t="shared" si="0"/>
        <v>0.75307510337851247</v>
      </c>
      <c r="G23" t="s">
        <v>52</v>
      </c>
    </row>
    <row r="24" spans="1:8" x14ac:dyDescent="0.25">
      <c r="A24" s="9"/>
      <c r="C24" s="3"/>
      <c r="D24" s="3"/>
      <c r="E24" s="19"/>
      <c r="F24" s="21"/>
    </row>
    <row r="25" spans="1:8" ht="135" x14ac:dyDescent="0.25">
      <c r="A25" s="5" t="s">
        <v>28</v>
      </c>
      <c r="C25" s="3"/>
      <c r="D25" s="4">
        <f>'[6]Données PAMCHR'!$D$243+'[6]Données PAMCHR'!$H$257+'[6]Données VAR'!$I$75+'[6]Données VAR'!$H$114+'[6]Données VAR'!$H$120+[6]Exploitation!$G$19+'[6]Données gestion'!$I$50-'[6]Données gestion'!$H$115</f>
        <v>1407596.1601499999</v>
      </c>
      <c r="E25" s="19">
        <f>C25+D25*eurodol</f>
        <v>1829875.008195</v>
      </c>
      <c r="F25" s="21">
        <f t="shared" si="0"/>
        <v>0.46606670068889661</v>
      </c>
      <c r="G25" s="26" t="s">
        <v>64</v>
      </c>
    </row>
    <row r="26" spans="1:8" x14ac:dyDescent="0.25">
      <c r="A26" s="8"/>
      <c r="C26" s="3"/>
      <c r="D26" s="3"/>
      <c r="E26" s="19"/>
      <c r="F26" s="21"/>
      <c r="H26" s="27"/>
    </row>
    <row r="27" spans="1:8" x14ac:dyDescent="0.25">
      <c r="A27" s="8" t="s">
        <v>7</v>
      </c>
      <c r="C27" s="3"/>
      <c r="D27" s="3"/>
      <c r="E27" s="19"/>
      <c r="F27" s="21"/>
    </row>
    <row r="28" spans="1:8" x14ac:dyDescent="0.25">
      <c r="A28" s="23" t="s">
        <v>8</v>
      </c>
      <c r="B28" s="16">
        <f>[6]Scénario!$F$7+[6]Scénario!$F$10+[6]Scénario!$F$16+[6]Scénario!$F$17</f>
        <v>4617.6235552480921</v>
      </c>
      <c r="C28" s="4">
        <f>([6]Scénario!$F$20+[6]Scénario!$F$23+[6]Scénario!$F$25+[6]Scénario!$F$26)*1000</f>
        <v>22875707.092699051</v>
      </c>
      <c r="D28" s="19">
        <f>C28/eurodol</f>
        <v>17596697.763614655</v>
      </c>
      <c r="E28" s="19">
        <f>C28</f>
        <v>22875707.092699051</v>
      </c>
      <c r="F28" s="21">
        <f t="shared" si="0"/>
        <v>5.8264117947249918</v>
      </c>
      <c r="G28" t="s">
        <v>25</v>
      </c>
    </row>
    <row r="29" spans="1:8" x14ac:dyDescent="0.25">
      <c r="A29" s="23" t="s">
        <v>3</v>
      </c>
      <c r="B29" s="16">
        <f>'[6]Données PAMCHR'!$H$148</f>
        <v>787.0949241900156</v>
      </c>
      <c r="C29" s="4">
        <f>B29*'[6]Données Matières'!$AC$52*1000</f>
        <v>7870949.2419001563</v>
      </c>
      <c r="D29" s="19">
        <f>C29/eurodol</f>
        <v>6054576.3399231965</v>
      </c>
      <c r="E29" s="19">
        <f>C29</f>
        <v>7870949.2419001563</v>
      </c>
      <c r="F29" s="21">
        <f t="shared" si="0"/>
        <v>2.004720173800667</v>
      </c>
      <c r="G29" t="s">
        <v>24</v>
      </c>
    </row>
    <row r="30" spans="1:8" x14ac:dyDescent="0.25">
      <c r="A30" s="23" t="s">
        <v>9</v>
      </c>
      <c r="B30" s="16">
        <f>'[6]Données PAMCHR'!$H$152+'[6]Données PAMCHR'!$H$153</f>
        <v>86.580441660901727</v>
      </c>
      <c r="C30" s="18"/>
      <c r="D30" s="4">
        <f>'[6]Données PAMCHR'!$K$176</f>
        <v>1516810.6284065791</v>
      </c>
      <c r="E30" s="19">
        <f>C30+D30*eurodol</f>
        <v>1971853.8169285529</v>
      </c>
      <c r="F30" s="21">
        <f t="shared" si="0"/>
        <v>0.50222851210106456</v>
      </c>
    </row>
    <row r="31" spans="1:8" x14ac:dyDescent="0.25">
      <c r="A31" s="8"/>
      <c r="C31" s="3"/>
      <c r="D31" s="3"/>
      <c r="E31" s="19"/>
      <c r="F31" s="21"/>
    </row>
    <row r="32" spans="1:8" x14ac:dyDescent="0.25">
      <c r="A32" s="8" t="s">
        <v>17</v>
      </c>
      <c r="C32" s="3"/>
      <c r="D32" s="4">
        <f>'[6]Données PAMCHR'!$K$180</f>
        <v>7512926.6036223033</v>
      </c>
      <c r="E32" s="19">
        <f>C32+D32*eurodol</f>
        <v>9766804.5847089943</v>
      </c>
      <c r="F32" s="21">
        <f t="shared" si="0"/>
        <v>2.4875919768742092</v>
      </c>
      <c r="G32" t="s">
        <v>29</v>
      </c>
    </row>
    <row r="33" spans="1:7" x14ac:dyDescent="0.25">
      <c r="A33" s="8"/>
      <c r="C33" s="3"/>
      <c r="D33" s="3"/>
      <c r="E33" s="19"/>
      <c r="F33" s="21"/>
    </row>
    <row r="34" spans="1:7" x14ac:dyDescent="0.25">
      <c r="A34" s="8" t="s">
        <v>18</v>
      </c>
      <c r="C34" s="3"/>
      <c r="D34" s="4">
        <f>'[6]Données PAMCHR'!$K$181</f>
        <v>1038965.2999308212</v>
      </c>
      <c r="E34" s="19">
        <f>C34+D34*eurodol</f>
        <v>1350654.8899100677</v>
      </c>
      <c r="F34" s="21">
        <f t="shared" si="0"/>
        <v>0.34400998182419473</v>
      </c>
      <c r="G34" t="s">
        <v>30</v>
      </c>
    </row>
    <row r="35" spans="1:7" x14ac:dyDescent="0.25">
      <c r="A35" s="8"/>
      <c r="C35" s="3"/>
      <c r="D35" s="3"/>
      <c r="E35" s="19"/>
      <c r="F35" s="21"/>
    </row>
    <row r="36" spans="1:7" x14ac:dyDescent="0.25">
      <c r="A36" s="11" t="s">
        <v>10</v>
      </c>
      <c r="C36" s="3"/>
      <c r="D36" s="4">
        <f>[6]Exploitation!$G$41</f>
        <v>6878200.6051014392</v>
      </c>
      <c r="E36" s="19">
        <f>C36+D36*eurodol</f>
        <v>8941660.786631871</v>
      </c>
      <c r="F36" s="21">
        <f t="shared" si="0"/>
        <v>2.2774289625473156</v>
      </c>
      <c r="G36" t="s">
        <v>53</v>
      </c>
    </row>
    <row r="37" spans="1:7" x14ac:dyDescent="0.25">
      <c r="C37" s="3"/>
      <c r="D37" s="3"/>
      <c r="E37" s="19"/>
      <c r="F37" s="21"/>
    </row>
    <row r="38" spans="1:7" x14ac:dyDescent="0.25">
      <c r="A38" s="11" t="s">
        <v>11</v>
      </c>
      <c r="C38" s="3"/>
      <c r="D38" s="4">
        <f>'[6]Données Investissement'!$H$78</f>
        <v>1161200</v>
      </c>
      <c r="E38" s="19">
        <f>C38+D38*eurodol</f>
        <v>1509560</v>
      </c>
      <c r="F38" s="21">
        <f t="shared" si="0"/>
        <v>0.3844828994008298</v>
      </c>
      <c r="G38" t="s">
        <v>26</v>
      </c>
    </row>
    <row r="39" spans="1:7" x14ac:dyDescent="0.25">
      <c r="A39" s="12"/>
      <c r="C39" s="3"/>
      <c r="D39" s="3"/>
      <c r="E39" s="19"/>
      <c r="F39" s="21"/>
    </row>
    <row r="40" spans="1:7" x14ac:dyDescent="0.25">
      <c r="A40" s="12" t="s">
        <v>33</v>
      </c>
      <c r="C40" s="3"/>
      <c r="D40" s="4">
        <f>[6]Exploitation!$G$25-'[6]Données gestion'!$E$70</f>
        <v>1205000.5833333335</v>
      </c>
      <c r="E40" s="19">
        <f>C40+D40*eurodol</f>
        <v>1566500.7583333335</v>
      </c>
      <c r="F40" s="21">
        <f t="shared" si="0"/>
        <v>0.39898563387848024</v>
      </c>
      <c r="G40" t="s">
        <v>32</v>
      </c>
    </row>
    <row r="41" spans="1:7" x14ac:dyDescent="0.25">
      <c r="A41" s="12"/>
      <c r="C41" s="3"/>
      <c r="D41" s="3"/>
      <c r="E41" s="19"/>
      <c r="F41" s="21"/>
    </row>
    <row r="42" spans="1:7" x14ac:dyDescent="0.25">
      <c r="A42" s="11" t="s">
        <v>22</v>
      </c>
      <c r="C42" s="3"/>
      <c r="D42" s="4">
        <f>'[6]Données Investissement'!$N$27*1000*1000</f>
        <v>1250333.3333333333</v>
      </c>
      <c r="E42" s="19">
        <f>C42+D42*eurodol</f>
        <v>1625433.3333333333</v>
      </c>
      <c r="F42" s="21">
        <f t="shared" si="0"/>
        <v>0.41399568137918025</v>
      </c>
      <c r="G42" t="s">
        <v>31</v>
      </c>
    </row>
    <row r="43" spans="1:7" x14ac:dyDescent="0.25">
      <c r="A43" s="11"/>
      <c r="C43" s="3"/>
      <c r="D43" s="3"/>
      <c r="E43" s="19"/>
      <c r="F43" s="21"/>
    </row>
    <row r="44" spans="1:7" x14ac:dyDescent="0.25">
      <c r="A44" s="11" t="s">
        <v>49</v>
      </c>
      <c r="C44" s="3"/>
      <c r="D44" s="4">
        <f>'[6]Données gestion'!$I$86+'[6]Données gestion'!$I$58</f>
        <v>400000</v>
      </c>
      <c r="E44" s="19">
        <f>C44+D44*eurodol</f>
        <v>520000</v>
      </c>
      <c r="F44" s="21">
        <f t="shared" si="0"/>
        <v>0.13244329982805023</v>
      </c>
    </row>
    <row r="45" spans="1:7" x14ac:dyDescent="0.25">
      <c r="A45" s="11"/>
      <c r="C45" s="3"/>
      <c r="D45" s="3"/>
      <c r="E45" s="19"/>
      <c r="F45" s="21"/>
    </row>
    <row r="46" spans="1:7" x14ac:dyDescent="0.25">
      <c r="A46" s="11" t="s">
        <v>12</v>
      </c>
      <c r="C46" s="3"/>
      <c r="D46" s="4">
        <f>'[6]Données gestion'!$H$115</f>
        <v>88750</v>
      </c>
      <c r="E46" s="19">
        <f>C46+D46*eurodol</f>
        <v>115375</v>
      </c>
      <c r="F46" s="21">
        <f t="shared" si="0"/>
        <v>2.9385857149348642E-2</v>
      </c>
    </row>
    <row r="47" spans="1:7" x14ac:dyDescent="0.25">
      <c r="A47" s="11"/>
      <c r="C47" s="3"/>
      <c r="D47" s="3"/>
      <c r="E47" s="19"/>
      <c r="F47" s="21"/>
    </row>
    <row r="48" spans="1:7" x14ac:dyDescent="0.25">
      <c r="A48" s="11" t="s">
        <v>13</v>
      </c>
      <c r="C48" s="3"/>
      <c r="D48" s="4">
        <f>'[6]Données gestion'!$E$70+'[6]Données gestion'!$I$61-'[6]Données gestion'!$I$58</f>
        <v>714973.58700724645</v>
      </c>
      <c r="E48" s="19">
        <f>C48+D48*eurodol</f>
        <v>929465.66310942045</v>
      </c>
      <c r="F48" s="21">
        <f t="shared" si="0"/>
        <v>0.23673365288284323</v>
      </c>
      <c r="G48" t="s">
        <v>34</v>
      </c>
    </row>
    <row r="49" spans="1:7" x14ac:dyDescent="0.25">
      <c r="A49" s="11"/>
      <c r="D49" s="28">
        <f>SUM(D18:D48)-D36</f>
        <v>46408029.881402165</v>
      </c>
      <c r="E49" s="28">
        <f>SUM(E18:E48)-E36</f>
        <v>60330438.845822811</v>
      </c>
      <c r="F49" s="22"/>
    </row>
    <row r="50" spans="1:7" x14ac:dyDescent="0.25">
      <c r="A50" s="11"/>
      <c r="E50" s="20"/>
      <c r="F50" s="22"/>
      <c r="G50" s="22"/>
    </row>
    <row r="51" spans="1:7" x14ac:dyDescent="0.25">
      <c r="A51" s="29" t="s">
        <v>66</v>
      </c>
      <c r="B51" s="30"/>
      <c r="C51" s="30"/>
      <c r="D51" s="30"/>
      <c r="E51" s="30"/>
      <c r="F51" s="31"/>
    </row>
    <row r="52" spans="1:7" x14ac:dyDescent="0.25">
      <c r="A52" s="32" t="s">
        <v>54</v>
      </c>
      <c r="B52" s="33"/>
      <c r="C52" s="33"/>
      <c r="D52" s="33"/>
      <c r="E52" s="33"/>
      <c r="F52" s="34">
        <f>F28+F29+F30+F32+F34</f>
        <v>11.164962439325128</v>
      </c>
      <c r="G52" s="22"/>
    </row>
    <row r="53" spans="1:7" x14ac:dyDescent="0.25">
      <c r="A53" s="32" t="s">
        <v>55</v>
      </c>
      <c r="B53" s="33"/>
      <c r="C53" s="33"/>
      <c r="D53" s="33"/>
      <c r="E53" s="33"/>
      <c r="F53" s="34">
        <f>F19+F23+F25+F38+F46</f>
        <v>2.2865493846863525</v>
      </c>
      <c r="G53" s="22"/>
    </row>
    <row r="54" spans="1:7" x14ac:dyDescent="0.25">
      <c r="A54" s="32" t="s">
        <v>56</v>
      </c>
      <c r="B54" s="33"/>
      <c r="C54" s="33"/>
      <c r="D54" s="33"/>
      <c r="E54" s="33"/>
      <c r="F54" s="34">
        <f>F21+F40+F42+F44+F48</f>
        <v>1.9145697160176716</v>
      </c>
      <c r="G54" s="22"/>
    </row>
    <row r="55" spans="1:7" x14ac:dyDescent="0.25">
      <c r="A55" s="35" t="s">
        <v>57</v>
      </c>
      <c r="B55" s="33"/>
      <c r="C55" s="33"/>
      <c r="D55" s="33"/>
      <c r="E55" s="33"/>
      <c r="F55" s="34">
        <f>SUM(F52:F54)</f>
        <v>15.366081540029153</v>
      </c>
      <c r="G55" s="22"/>
    </row>
    <row r="56" spans="1:7" x14ac:dyDescent="0.25">
      <c r="A56" s="36" t="s">
        <v>58</v>
      </c>
      <c r="B56" s="37"/>
      <c r="C56" s="37"/>
      <c r="D56" s="37"/>
      <c r="E56" s="37"/>
      <c r="F56" s="38">
        <f>F36</f>
        <v>2.2774289625473156</v>
      </c>
    </row>
    <row r="57" spans="1:7" x14ac:dyDescent="0.25">
      <c r="A57" s="11"/>
    </row>
    <row r="58" spans="1:7" x14ac:dyDescent="0.25">
      <c r="A58" s="11" t="s">
        <v>35</v>
      </c>
      <c r="E58" s="2">
        <f>[6]Scénario!$F$2*1000</f>
        <v>77694530.746399999</v>
      </c>
      <c r="F58" s="22">
        <f>E58/F16/1000</f>
        <v>19.788692366625234</v>
      </c>
      <c r="G58" t="s">
        <v>36</v>
      </c>
    </row>
    <row r="59" spans="1:7" x14ac:dyDescent="0.25">
      <c r="A59" s="11"/>
    </row>
    <row r="60" spans="1:7" x14ac:dyDescent="0.25">
      <c r="A60" s="11"/>
    </row>
    <row r="61" spans="1:7" x14ac:dyDescent="0.25">
      <c r="A61" s="11"/>
    </row>
    <row r="62" spans="1:7" x14ac:dyDescent="0.25">
      <c r="A62" s="11"/>
    </row>
    <row r="63" spans="1:7" x14ac:dyDescent="0.25">
      <c r="A63" s="11"/>
    </row>
    <row r="64" spans="1:7" x14ac:dyDescent="0.25">
      <c r="A64" s="11"/>
    </row>
    <row r="65" spans="1:1" x14ac:dyDescent="0.25">
      <c r="A65" s="11"/>
    </row>
    <row r="66" spans="1:1" x14ac:dyDescent="0.25">
      <c r="A66" s="11"/>
    </row>
    <row r="67" spans="1:1" x14ac:dyDescent="0.25">
      <c r="A67" s="11"/>
    </row>
    <row r="68" spans="1:1" x14ac:dyDescent="0.25">
      <c r="A68" s="11"/>
    </row>
    <row r="69" spans="1:1" x14ac:dyDescent="0.25">
      <c r="A69" s="11"/>
    </row>
    <row r="70" spans="1:1" x14ac:dyDescent="0.25">
      <c r="A70" s="11"/>
    </row>
    <row r="71" spans="1:1" x14ac:dyDescent="0.25">
      <c r="A71" s="11"/>
    </row>
    <row r="72" spans="1:1" x14ac:dyDescent="0.25">
      <c r="A72" s="11"/>
    </row>
    <row r="73" spans="1:1" x14ac:dyDescent="0.25">
      <c r="A73" s="11"/>
    </row>
    <row r="74" spans="1:1" x14ac:dyDescent="0.25">
      <c r="A74" s="11"/>
    </row>
    <row r="75" spans="1:1" x14ac:dyDescent="0.25">
      <c r="A75" s="11"/>
    </row>
    <row r="76" spans="1:1" x14ac:dyDescent="0.25">
      <c r="A76" s="11"/>
    </row>
    <row r="77" spans="1:1" x14ac:dyDescent="0.25">
      <c r="A77" s="11"/>
    </row>
    <row r="78" spans="1:1" x14ac:dyDescent="0.25">
      <c r="A78" s="11"/>
    </row>
    <row r="79" spans="1:1" x14ac:dyDescent="0.25">
      <c r="A79" s="11"/>
    </row>
    <row r="80" spans="1:1" x14ac:dyDescent="0.25">
      <c r="A80" s="8"/>
    </row>
    <row r="81" spans="1:1" x14ac:dyDescent="0.25">
      <c r="A81" s="8"/>
    </row>
    <row r="82" spans="1:1" x14ac:dyDescent="0.25">
      <c r="A82" s="8"/>
    </row>
    <row r="83" spans="1:1" x14ac:dyDescent="0.25">
      <c r="A83" s="8"/>
    </row>
    <row r="84" spans="1:1" x14ac:dyDescent="0.25">
      <c r="A84" s="8"/>
    </row>
    <row r="85" spans="1:1" x14ac:dyDescent="0.25">
      <c r="A85" s="8"/>
    </row>
    <row r="86" spans="1:1" x14ac:dyDescent="0.25">
      <c r="A86" s="8"/>
    </row>
    <row r="87" spans="1:1" x14ac:dyDescent="0.25">
      <c r="A87" s="8"/>
    </row>
    <row r="88" spans="1:1" x14ac:dyDescent="0.25">
      <c r="A88" s="8"/>
    </row>
    <row r="89" spans="1:1" x14ac:dyDescent="0.25">
      <c r="A89" s="8"/>
    </row>
    <row r="90" spans="1:1" x14ac:dyDescent="0.25">
      <c r="A90" s="10"/>
    </row>
  </sheetData>
  <mergeCells count="15">
    <mergeCell ref="C6:F6"/>
    <mergeCell ref="C7:F7"/>
    <mergeCell ref="C16:E16"/>
    <mergeCell ref="C8:F8"/>
    <mergeCell ref="C9:F9"/>
    <mergeCell ref="C10:F10"/>
    <mergeCell ref="C11:F11"/>
    <mergeCell ref="C12:F12"/>
    <mergeCell ref="C13:F13"/>
    <mergeCell ref="C14:F14"/>
    <mergeCell ref="A8:A9"/>
    <mergeCell ref="A10:A11"/>
    <mergeCell ref="A12:A13"/>
    <mergeCell ref="A14:A15"/>
    <mergeCell ref="C15:F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activeCell="G25" sqref="G25"/>
    </sheetView>
  </sheetViews>
  <sheetFormatPr baseColWidth="10" defaultRowHeight="15" x14ac:dyDescent="0.25"/>
  <cols>
    <col min="1" max="1" width="33.5703125" style="5" customWidth="1"/>
    <col min="3" max="3" width="15.7109375" customWidth="1"/>
    <col min="4" max="4" width="17" bestFit="1" customWidth="1"/>
    <col min="5" max="5" width="15.42578125" customWidth="1"/>
    <col min="6" max="6" width="15.7109375" customWidth="1"/>
    <col min="7" max="7" width="72.7109375" customWidth="1"/>
  </cols>
  <sheetData>
    <row r="1" spans="1:6" x14ac:dyDescent="0.25">
      <c r="C1" t="s">
        <v>106</v>
      </c>
    </row>
    <row r="4" spans="1:6" x14ac:dyDescent="0.25">
      <c r="A4" s="1" t="s">
        <v>2</v>
      </c>
    </row>
    <row r="5" spans="1:6" x14ac:dyDescent="0.25">
      <c r="A5" s="15" t="s">
        <v>59</v>
      </c>
    </row>
    <row r="6" spans="1:6" x14ac:dyDescent="0.25">
      <c r="C6" s="124" t="s">
        <v>109</v>
      </c>
      <c r="D6" s="124"/>
      <c r="E6" s="124"/>
      <c r="F6" s="124"/>
    </row>
    <row r="7" spans="1:6" x14ac:dyDescent="0.25">
      <c r="A7" s="24" t="s">
        <v>37</v>
      </c>
      <c r="B7" s="85">
        <f>'Synthèse SAFRAN'!B4</f>
        <v>1.3</v>
      </c>
      <c r="C7" s="124" t="s">
        <v>0</v>
      </c>
      <c r="D7" s="124"/>
      <c r="E7" s="124"/>
      <c r="F7" s="124"/>
    </row>
    <row r="8" spans="1:6" x14ac:dyDescent="0.25">
      <c r="A8" s="98" t="s">
        <v>70</v>
      </c>
      <c r="B8" s="81" t="s">
        <v>75</v>
      </c>
      <c r="C8" s="125">
        <f>[7]Scénario!$F$7</f>
        <v>1912.8004583333332</v>
      </c>
      <c r="D8" s="126"/>
      <c r="E8" s="126"/>
      <c r="F8" s="127"/>
    </row>
    <row r="9" spans="1:6" x14ac:dyDescent="0.25">
      <c r="A9" s="98"/>
      <c r="B9" s="81" t="s">
        <v>74</v>
      </c>
      <c r="C9" s="131">
        <f>[7]Scénario!$F$20/[7]Scénario!$F$7</f>
        <v>1</v>
      </c>
      <c r="D9" s="132"/>
      <c r="E9" s="132"/>
      <c r="F9" s="133"/>
    </row>
    <row r="10" spans="1:6" x14ac:dyDescent="0.25">
      <c r="A10" s="98" t="s">
        <v>71</v>
      </c>
      <c r="B10" s="81" t="s">
        <v>75</v>
      </c>
      <c r="C10" s="125">
        <f>[7]Scénario!$F$16</f>
        <v>1935.2191710400762</v>
      </c>
      <c r="D10" s="126"/>
      <c r="E10" s="126"/>
      <c r="F10" s="127"/>
    </row>
    <row r="11" spans="1:6" x14ac:dyDescent="0.25">
      <c r="A11" s="98"/>
      <c r="B11" s="81" t="s">
        <v>74</v>
      </c>
      <c r="C11" s="131">
        <f>[7]Scénario!$F$27/[7]Scénario!$F$16</f>
        <v>1</v>
      </c>
      <c r="D11" s="132"/>
      <c r="E11" s="132"/>
      <c r="F11" s="133"/>
    </row>
    <row r="12" spans="1:6" x14ac:dyDescent="0.25">
      <c r="A12" s="98" t="s">
        <v>72</v>
      </c>
      <c r="B12" s="81" t="s">
        <v>75</v>
      </c>
      <c r="C12" s="125"/>
      <c r="D12" s="126"/>
      <c r="E12" s="126"/>
      <c r="F12" s="127"/>
    </row>
    <row r="13" spans="1:6" x14ac:dyDescent="0.25">
      <c r="A13" s="98"/>
      <c r="B13" s="81" t="s">
        <v>74</v>
      </c>
      <c r="C13" s="128"/>
      <c r="D13" s="129"/>
      <c r="E13" s="129"/>
      <c r="F13" s="130"/>
    </row>
    <row r="14" spans="1:6" x14ac:dyDescent="0.25">
      <c r="A14" s="98" t="s">
        <v>73</v>
      </c>
      <c r="B14" s="81" t="s">
        <v>75</v>
      </c>
      <c r="C14" s="125"/>
      <c r="D14" s="126"/>
      <c r="E14" s="126"/>
      <c r="F14" s="127"/>
    </row>
    <row r="15" spans="1:6" x14ac:dyDescent="0.25">
      <c r="A15" s="98"/>
      <c r="B15" s="81" t="s">
        <v>74</v>
      </c>
      <c r="C15" s="128"/>
      <c r="D15" s="129"/>
      <c r="E15" s="129"/>
      <c r="F15" s="130"/>
    </row>
    <row r="16" spans="1:6" x14ac:dyDescent="0.25">
      <c r="C16" s="124" t="s">
        <v>80</v>
      </c>
      <c r="D16" s="124"/>
      <c r="E16" s="124"/>
      <c r="F16" s="40">
        <f>'[7]Exploitation année pleine'!$G$8</f>
        <v>3926.2084278714792</v>
      </c>
    </row>
    <row r="17" spans="1:8" x14ac:dyDescent="0.25">
      <c r="C17" s="71" t="s">
        <v>14</v>
      </c>
      <c r="D17" s="71" t="s">
        <v>15</v>
      </c>
      <c r="E17" s="71" t="s">
        <v>16</v>
      </c>
      <c r="F17" s="71" t="s">
        <v>19</v>
      </c>
      <c r="G17" s="17" t="s">
        <v>23</v>
      </c>
    </row>
    <row r="18" spans="1:8" x14ac:dyDescent="0.25">
      <c r="B18" s="3" t="s">
        <v>1</v>
      </c>
      <c r="C18" s="3"/>
      <c r="D18" s="3"/>
      <c r="E18" s="3"/>
      <c r="F18" s="3"/>
    </row>
    <row r="19" spans="1:8" x14ac:dyDescent="0.25">
      <c r="A19" s="8" t="s">
        <v>5</v>
      </c>
      <c r="C19" s="3"/>
      <c r="D19" s="4">
        <f>'[7]Données PAMCHR'!$G$210*'[7]Données gestion'!$H$15*(1+2/3*3.5%)</f>
        <v>1973792.0300000003</v>
      </c>
      <c r="E19" s="19">
        <f>C19+D19*eurodol</f>
        <v>2565929.6390000004</v>
      </c>
      <c r="F19" s="21">
        <f>E19/$F$16/1000</f>
        <v>0.65353882406876485</v>
      </c>
      <c r="G19" t="s">
        <v>51</v>
      </c>
    </row>
    <row r="20" spans="1:8" x14ac:dyDescent="0.25">
      <c r="A20" s="8"/>
      <c r="C20" s="3"/>
      <c r="D20" s="3"/>
      <c r="E20" s="19"/>
      <c r="F20" s="21"/>
    </row>
    <row r="21" spans="1:8" x14ac:dyDescent="0.25">
      <c r="A21" s="8" t="s">
        <v>21</v>
      </c>
      <c r="C21" s="3"/>
      <c r="D21" s="4">
        <f>'[7]Données Investissement'!$I$65+'[7]Données Investissement'!$N$26*1000*1000</f>
        <v>2212000</v>
      </c>
      <c r="E21" s="19">
        <f>C21+D21*eurodol</f>
        <v>2875600</v>
      </c>
      <c r="F21" s="21">
        <f t="shared" ref="F21:F48" si="0">E21/$F$16/1000</f>
        <v>0.73241144804911762</v>
      </c>
      <c r="G21" t="s">
        <v>27</v>
      </c>
    </row>
    <row r="22" spans="1:8" x14ac:dyDescent="0.25">
      <c r="A22" s="8"/>
      <c r="C22" s="3"/>
      <c r="D22" s="3"/>
      <c r="E22" s="19"/>
      <c r="F22" s="21"/>
    </row>
    <row r="23" spans="1:8" x14ac:dyDescent="0.25">
      <c r="A23" s="8" t="s">
        <v>6</v>
      </c>
      <c r="C23" s="3"/>
      <c r="D23" s="4">
        <f>('[7]Données PAMCHR'!$H$232+'[7]Données PAMCHR'!$H$233+'[7]Données VAR'!$H$105+'[7]Données VAR'!$H$106+'[7]Données VAR'!$H$107)*'[7]Données gestion'!$H$25</f>
        <v>2274407.5520806932</v>
      </c>
      <c r="E23" s="19">
        <f>C23+D23*eurodol</f>
        <v>2956729.8177049011</v>
      </c>
      <c r="F23" s="21">
        <f t="shared" si="0"/>
        <v>0.75307510337851247</v>
      </c>
      <c r="G23" t="s">
        <v>52</v>
      </c>
    </row>
    <row r="24" spans="1:8" x14ac:dyDescent="0.25">
      <c r="A24" s="9"/>
      <c r="C24" s="3"/>
      <c r="D24" s="3"/>
      <c r="E24" s="19"/>
      <c r="F24" s="21"/>
    </row>
    <row r="25" spans="1:8" ht="135" x14ac:dyDescent="0.25">
      <c r="A25" s="5" t="s">
        <v>28</v>
      </c>
      <c r="C25" s="3"/>
      <c r="D25" s="4">
        <f>'[7]Données PAMCHR'!$D$243+'[7]Données PAMCHR'!$H$257+'[7]Données VAR'!$I$75+'[7]Données VAR'!$H$114+'[7]Données VAR'!$H$120+[7]Exploitation!$G$19+'[7]Données gestion'!$I$50-'[7]Données gestion'!$H$115</f>
        <v>5088929.9392318018</v>
      </c>
      <c r="E25" s="19">
        <f>C25+D25*eurodol</f>
        <v>6615608.9210013421</v>
      </c>
      <c r="F25" s="21">
        <f t="shared" si="0"/>
        <v>1.6849866843640473</v>
      </c>
      <c r="G25" s="26" t="s">
        <v>110</v>
      </c>
    </row>
    <row r="26" spans="1:8" x14ac:dyDescent="0.25">
      <c r="A26" s="8"/>
      <c r="C26" s="3"/>
      <c r="D26" s="3"/>
      <c r="E26" s="19"/>
      <c r="F26" s="21"/>
      <c r="H26" s="27"/>
    </row>
    <row r="27" spans="1:8" x14ac:dyDescent="0.25">
      <c r="A27" s="8" t="s">
        <v>7</v>
      </c>
      <c r="C27" s="3"/>
      <c r="D27" s="3"/>
      <c r="E27" s="19"/>
      <c r="F27" s="21"/>
    </row>
    <row r="28" spans="1:8" x14ac:dyDescent="0.25">
      <c r="A28" s="23" t="s">
        <v>8</v>
      </c>
      <c r="B28" s="16">
        <f>[7]Scénario!$F$7+[7]Scénario!$F$10+[7]Scénario!$F$16+[7]Scénario!$F$17</f>
        <v>3848.0196293734093</v>
      </c>
      <c r="C28" s="4">
        <f>([7]Scénario!$F$20+[7]Scénario!$F$23+[7]Scénario!$F$25+[7]Scénario!$F$26)*1000</f>
        <v>3848019.6293734093</v>
      </c>
      <c r="D28" s="19">
        <f>C28/eurodol</f>
        <v>2960015.0995180071</v>
      </c>
      <c r="E28" s="19">
        <f>C28</f>
        <v>3848019.6293734093</v>
      </c>
      <c r="F28" s="21">
        <f t="shared" si="0"/>
        <v>0.98008541830254825</v>
      </c>
      <c r="G28" t="s">
        <v>25</v>
      </c>
    </row>
    <row r="29" spans="1:8" x14ac:dyDescent="0.25">
      <c r="A29" s="23" t="s">
        <v>3</v>
      </c>
      <c r="B29" s="16">
        <f>'[7]Données PAMCHR'!$H$148</f>
        <v>787.0949241900156</v>
      </c>
      <c r="C29" s="4">
        <f>B29*'[7]Données Matières'!$AC$52*1000</f>
        <v>7870949.2419001563</v>
      </c>
      <c r="D29" s="19">
        <f>C29/eurodol</f>
        <v>6054576.3399231965</v>
      </c>
      <c r="E29" s="19">
        <f>C29</f>
        <v>7870949.2419001563</v>
      </c>
      <c r="F29" s="21">
        <f t="shared" si="0"/>
        <v>2.004720173800667</v>
      </c>
      <c r="G29" t="s">
        <v>24</v>
      </c>
    </row>
    <row r="30" spans="1:8" x14ac:dyDescent="0.25">
      <c r="A30" s="23" t="s">
        <v>9</v>
      </c>
      <c r="B30" s="16">
        <f>'[7]Données PAMCHR'!$H$152+'[7]Données PAMCHR'!$H$153</f>
        <v>86.580441660901727</v>
      </c>
      <c r="C30" s="18"/>
      <c r="D30" s="4">
        <f>'[7]Données PAMCHR'!$K$176</f>
        <v>1516810.6284065791</v>
      </c>
      <c r="E30" s="19">
        <f>C30+D30*eurodol</f>
        <v>1971853.8169285529</v>
      </c>
      <c r="F30" s="21">
        <f t="shared" si="0"/>
        <v>0.50222851210106456</v>
      </c>
    </row>
    <row r="31" spans="1:8" x14ac:dyDescent="0.25">
      <c r="A31" s="8"/>
      <c r="C31" s="3"/>
      <c r="D31" s="3"/>
      <c r="E31" s="19"/>
      <c r="F31" s="21"/>
    </row>
    <row r="32" spans="1:8" x14ac:dyDescent="0.25">
      <c r="A32" s="8" t="s">
        <v>17</v>
      </c>
      <c r="C32" s="3"/>
      <c r="D32" s="4">
        <f>'[7]Données PAMCHR'!$K$180</f>
        <v>3848019.6293734093</v>
      </c>
      <c r="E32" s="19">
        <f>C32+D32*eurodol</f>
        <v>5002425.5181854321</v>
      </c>
      <c r="F32" s="21">
        <f t="shared" si="0"/>
        <v>1.2741110437933127</v>
      </c>
      <c r="G32" t="s">
        <v>29</v>
      </c>
    </row>
    <row r="33" spans="1:7" x14ac:dyDescent="0.25">
      <c r="A33" s="8"/>
      <c r="C33" s="3"/>
      <c r="D33" s="3"/>
      <c r="E33" s="19"/>
      <c r="F33" s="21"/>
    </row>
    <row r="34" spans="1:7" x14ac:dyDescent="0.25">
      <c r="A34" s="8" t="s">
        <v>18</v>
      </c>
      <c r="C34" s="3"/>
      <c r="D34" s="4">
        <f>'[7]Données PAMCHR'!$K$181</f>
        <v>461762.35552480957</v>
      </c>
      <c r="E34" s="19">
        <f>C34+D34*eurodol</f>
        <v>600291.06218225241</v>
      </c>
      <c r="F34" s="21">
        <f t="shared" si="0"/>
        <v>0.15289332525519769</v>
      </c>
      <c r="G34" t="s">
        <v>30</v>
      </c>
    </row>
    <row r="35" spans="1:7" x14ac:dyDescent="0.25">
      <c r="A35" s="8"/>
      <c r="C35" s="3"/>
      <c r="D35" s="3"/>
      <c r="E35" s="19"/>
      <c r="F35" s="21"/>
    </row>
    <row r="36" spans="1:7" x14ac:dyDescent="0.25">
      <c r="A36" s="11" t="s">
        <v>10</v>
      </c>
      <c r="C36" s="3"/>
      <c r="D36" s="4">
        <f>[7]Exploitation!$G$41</f>
        <v>3530843.0914247409</v>
      </c>
      <c r="E36" s="19">
        <f>C36+D36*eurodol</f>
        <v>4590096.0188521631</v>
      </c>
      <c r="F36" s="21">
        <f t="shared" si="0"/>
        <v>1.1690912755084166</v>
      </c>
      <c r="G36" t="s">
        <v>53</v>
      </c>
    </row>
    <row r="37" spans="1:7" x14ac:dyDescent="0.25">
      <c r="C37" s="3"/>
      <c r="D37" s="3"/>
      <c r="E37" s="19"/>
      <c r="F37" s="21"/>
    </row>
    <row r="38" spans="1:7" x14ac:dyDescent="0.25">
      <c r="A38" s="11" t="s">
        <v>11</v>
      </c>
      <c r="C38" s="3"/>
      <c r="D38" s="4">
        <f>'[7]Données Investissement'!$H$78</f>
        <v>1161200</v>
      </c>
      <c r="E38" s="19">
        <f>C38+D38*eurodol</f>
        <v>1509560</v>
      </c>
      <c r="F38" s="21">
        <f t="shared" si="0"/>
        <v>0.3844828994008298</v>
      </c>
      <c r="G38" t="s">
        <v>26</v>
      </c>
    </row>
    <row r="39" spans="1:7" x14ac:dyDescent="0.25">
      <c r="A39" s="12"/>
      <c r="C39" s="3"/>
      <c r="D39" s="3"/>
      <c r="E39" s="19"/>
      <c r="F39" s="21"/>
    </row>
    <row r="40" spans="1:7" x14ac:dyDescent="0.25">
      <c r="A40" s="12" t="s">
        <v>33</v>
      </c>
      <c r="C40" s="3"/>
      <c r="D40" s="4">
        <f>[7]Exploitation!$G$25-'[7]Données gestion'!$E$70</f>
        <v>1205000.5833333335</v>
      </c>
      <c r="E40" s="19">
        <f>C40+D40*eurodol</f>
        <v>1566500.7583333335</v>
      </c>
      <c r="F40" s="21">
        <f t="shared" si="0"/>
        <v>0.39898563387848024</v>
      </c>
      <c r="G40" t="s">
        <v>32</v>
      </c>
    </row>
    <row r="41" spans="1:7" x14ac:dyDescent="0.25">
      <c r="A41" s="12"/>
      <c r="C41" s="3"/>
      <c r="D41" s="3"/>
      <c r="E41" s="19"/>
      <c r="F41" s="21"/>
    </row>
    <row r="42" spans="1:7" x14ac:dyDescent="0.25">
      <c r="A42" s="11" t="s">
        <v>22</v>
      </c>
      <c r="C42" s="3"/>
      <c r="D42" s="4">
        <f>'[7]Données Investissement'!$N$27*1000*1000</f>
        <v>1250333.3333333333</v>
      </c>
      <c r="E42" s="19">
        <f>C42+D42*eurodol</f>
        <v>1625433.3333333333</v>
      </c>
      <c r="F42" s="21">
        <f t="shared" si="0"/>
        <v>0.41399568137918025</v>
      </c>
      <c r="G42" t="s">
        <v>31</v>
      </c>
    </row>
    <row r="43" spans="1:7" x14ac:dyDescent="0.25">
      <c r="A43" s="11"/>
      <c r="C43" s="3"/>
      <c r="D43" s="3"/>
      <c r="E43" s="19"/>
      <c r="F43" s="21"/>
    </row>
    <row r="44" spans="1:7" x14ac:dyDescent="0.25">
      <c r="A44" s="11" t="s">
        <v>49</v>
      </c>
      <c r="C44" s="3"/>
      <c r="D44" s="4">
        <f>'[7]Données gestion'!$I$86+'[7]Données gestion'!$I$58</f>
        <v>400000</v>
      </c>
      <c r="E44" s="19">
        <f>C44+D44*eurodol</f>
        <v>520000</v>
      </c>
      <c r="F44" s="21">
        <f t="shared" si="0"/>
        <v>0.13244329982805023</v>
      </c>
    </row>
    <row r="45" spans="1:7" x14ac:dyDescent="0.25">
      <c r="A45" s="11"/>
      <c r="C45" s="3"/>
      <c r="D45" s="3"/>
      <c r="E45" s="19"/>
      <c r="F45" s="21"/>
    </row>
    <row r="46" spans="1:7" x14ac:dyDescent="0.25">
      <c r="A46" s="11" t="s">
        <v>12</v>
      </c>
      <c r="C46" s="3"/>
      <c r="D46" s="4">
        <f>'[7]Données gestion'!$H$115</f>
        <v>88750</v>
      </c>
      <c r="E46" s="19">
        <f>C46+D46*eurodol</f>
        <v>115375</v>
      </c>
      <c r="F46" s="21">
        <f t="shared" si="0"/>
        <v>2.9385857149348642E-2</v>
      </c>
    </row>
    <row r="47" spans="1:7" x14ac:dyDescent="0.25">
      <c r="A47" s="11"/>
      <c r="C47" s="3"/>
      <c r="D47" s="3"/>
      <c r="E47" s="19"/>
      <c r="F47" s="21"/>
    </row>
    <row r="48" spans="1:7" x14ac:dyDescent="0.25">
      <c r="A48" s="11" t="s">
        <v>13</v>
      </c>
      <c r="C48" s="3"/>
      <c r="D48" s="4">
        <f>'[7]Données gestion'!$E$70+'[7]Données gestion'!$I$61-'[7]Données gestion'!$I$58</f>
        <v>714973.58700724645</v>
      </c>
      <c r="E48" s="19">
        <f>C48+D48*eurodol</f>
        <v>929465.66310942045</v>
      </c>
      <c r="F48" s="21">
        <f t="shared" si="0"/>
        <v>0.23673365288284323</v>
      </c>
      <c r="G48" t="s">
        <v>34</v>
      </c>
    </row>
    <row r="49" spans="1:7" x14ac:dyDescent="0.25">
      <c r="A49" s="11"/>
      <c r="D49" s="28">
        <f>SUM(D18:D48)-D36</f>
        <v>31210571.077732407</v>
      </c>
      <c r="E49" s="28">
        <f>SUM(E18:E48)-E36</f>
        <v>40573742.401052147</v>
      </c>
      <c r="F49" s="22"/>
    </row>
    <row r="50" spans="1:7" x14ac:dyDescent="0.25">
      <c r="A50" s="11"/>
      <c r="E50" s="20"/>
      <c r="F50" s="22"/>
      <c r="G50" s="22"/>
    </row>
    <row r="51" spans="1:7" x14ac:dyDescent="0.25">
      <c r="A51" s="29" t="s">
        <v>67</v>
      </c>
      <c r="B51" s="30"/>
      <c r="C51" s="30"/>
      <c r="D51" s="30"/>
      <c r="E51" s="30"/>
      <c r="F51" s="31"/>
    </row>
    <row r="52" spans="1:7" x14ac:dyDescent="0.25">
      <c r="A52" s="32" t="s">
        <v>54</v>
      </c>
      <c r="B52" s="33"/>
      <c r="C52" s="33"/>
      <c r="D52" s="33"/>
      <c r="E52" s="33"/>
      <c r="F52" s="34">
        <f>F28+F29+F30+F32+F34</f>
        <v>4.9140384732527895</v>
      </c>
      <c r="G52" s="22"/>
    </row>
    <row r="53" spans="1:7" x14ac:dyDescent="0.25">
      <c r="A53" s="32" t="s">
        <v>55</v>
      </c>
      <c r="B53" s="33"/>
      <c r="C53" s="33"/>
      <c r="D53" s="33"/>
      <c r="E53" s="33"/>
      <c r="F53" s="34">
        <f>F19+F23+F25+F38+F46</f>
        <v>3.5054693683615032</v>
      </c>
      <c r="G53" s="22"/>
    </row>
    <row r="54" spans="1:7" x14ac:dyDescent="0.25">
      <c r="A54" s="32" t="s">
        <v>56</v>
      </c>
      <c r="B54" s="33"/>
      <c r="C54" s="33"/>
      <c r="D54" s="33"/>
      <c r="E54" s="33"/>
      <c r="F54" s="34">
        <f>F21+F40+F42+F44+F48</f>
        <v>1.9145697160176716</v>
      </c>
      <c r="G54" s="22"/>
    </row>
    <row r="55" spans="1:7" x14ac:dyDescent="0.25">
      <c r="A55" s="35" t="s">
        <v>57</v>
      </c>
      <c r="B55" s="33"/>
      <c r="C55" s="33"/>
      <c r="D55" s="33"/>
      <c r="E55" s="33"/>
      <c r="F55" s="34">
        <f>SUM(F52:F54)</f>
        <v>10.334077557631964</v>
      </c>
      <c r="G55" s="22"/>
    </row>
    <row r="56" spans="1:7" x14ac:dyDescent="0.25">
      <c r="A56" s="36" t="s">
        <v>58</v>
      </c>
      <c r="B56" s="37"/>
      <c r="C56" s="37"/>
      <c r="D56" s="37"/>
      <c r="E56" s="37"/>
      <c r="F56" s="38">
        <f>F36</f>
        <v>1.1690912755084166</v>
      </c>
    </row>
    <row r="57" spans="1:7" x14ac:dyDescent="0.25">
      <c r="A57" s="11"/>
    </row>
    <row r="58" spans="1:7" x14ac:dyDescent="0.25">
      <c r="A58" s="11" t="s">
        <v>35</v>
      </c>
      <c r="E58" s="2">
        <f>[7]Scénario!$F$2*1000</f>
        <v>77694530.746399999</v>
      </c>
      <c r="F58" s="22">
        <f>E58/F16/1000</f>
        <v>19.788692366625234</v>
      </c>
      <c r="G58" t="s">
        <v>36</v>
      </c>
    </row>
    <row r="59" spans="1:7" x14ac:dyDescent="0.25">
      <c r="A59" s="11"/>
    </row>
    <row r="60" spans="1:7" x14ac:dyDescent="0.25">
      <c r="A60" s="11"/>
    </row>
    <row r="61" spans="1:7" x14ac:dyDescent="0.25">
      <c r="A61" s="11"/>
    </row>
    <row r="62" spans="1:7" x14ac:dyDescent="0.25">
      <c r="A62" s="11"/>
    </row>
    <row r="63" spans="1:7" x14ac:dyDescent="0.25">
      <c r="A63" s="11"/>
    </row>
    <row r="64" spans="1:7" x14ac:dyDescent="0.25">
      <c r="A64" s="11"/>
    </row>
    <row r="65" spans="1:1" x14ac:dyDescent="0.25">
      <c r="A65" s="11"/>
    </row>
    <row r="66" spans="1:1" x14ac:dyDescent="0.25">
      <c r="A66" s="11"/>
    </row>
    <row r="67" spans="1:1" x14ac:dyDescent="0.25">
      <c r="A67" s="11"/>
    </row>
    <row r="68" spans="1:1" x14ac:dyDescent="0.25">
      <c r="A68" s="11"/>
    </row>
    <row r="69" spans="1:1" x14ac:dyDescent="0.25">
      <c r="A69" s="11"/>
    </row>
    <row r="70" spans="1:1" x14ac:dyDescent="0.25">
      <c r="A70" s="11"/>
    </row>
    <row r="71" spans="1:1" x14ac:dyDescent="0.25">
      <c r="A71" s="11"/>
    </row>
    <row r="72" spans="1:1" x14ac:dyDescent="0.25">
      <c r="A72" s="11"/>
    </row>
    <row r="73" spans="1:1" x14ac:dyDescent="0.25">
      <c r="A73" s="11"/>
    </row>
    <row r="74" spans="1:1" x14ac:dyDescent="0.25">
      <c r="A74" s="11"/>
    </row>
    <row r="75" spans="1:1" x14ac:dyDescent="0.25">
      <c r="A75" s="11"/>
    </row>
    <row r="76" spans="1:1" x14ac:dyDescent="0.25">
      <c r="A76" s="11"/>
    </row>
    <row r="77" spans="1:1" x14ac:dyDescent="0.25">
      <c r="A77" s="11"/>
    </row>
    <row r="78" spans="1:1" x14ac:dyDescent="0.25">
      <c r="A78" s="11"/>
    </row>
    <row r="79" spans="1:1" x14ac:dyDescent="0.25">
      <c r="A79" s="11"/>
    </row>
    <row r="80" spans="1:1" x14ac:dyDescent="0.25">
      <c r="A80" s="8"/>
    </row>
    <row r="81" spans="1:1" x14ac:dyDescent="0.25">
      <c r="A81" s="8"/>
    </row>
    <row r="82" spans="1:1" x14ac:dyDescent="0.25">
      <c r="A82" s="8"/>
    </row>
    <row r="83" spans="1:1" x14ac:dyDescent="0.25">
      <c r="A83" s="8"/>
    </row>
    <row r="84" spans="1:1" x14ac:dyDescent="0.25">
      <c r="A84" s="8"/>
    </row>
    <row r="85" spans="1:1" x14ac:dyDescent="0.25">
      <c r="A85" s="8"/>
    </row>
    <row r="86" spans="1:1" x14ac:dyDescent="0.25">
      <c r="A86" s="8"/>
    </row>
    <row r="87" spans="1:1" x14ac:dyDescent="0.25">
      <c r="A87" s="8"/>
    </row>
    <row r="88" spans="1:1" x14ac:dyDescent="0.25">
      <c r="A88" s="8"/>
    </row>
    <row r="89" spans="1:1" x14ac:dyDescent="0.25">
      <c r="A89" s="8"/>
    </row>
    <row r="90" spans="1:1" x14ac:dyDescent="0.25">
      <c r="A90" s="10"/>
    </row>
  </sheetData>
  <mergeCells count="15">
    <mergeCell ref="C16:E16"/>
    <mergeCell ref="A12:A13"/>
    <mergeCell ref="C12:F12"/>
    <mergeCell ref="C13:F13"/>
    <mergeCell ref="A14:A15"/>
    <mergeCell ref="C14:F14"/>
    <mergeCell ref="C15:F15"/>
    <mergeCell ref="A10:A11"/>
    <mergeCell ref="C10:F10"/>
    <mergeCell ref="C11:F11"/>
    <mergeCell ref="C6:F6"/>
    <mergeCell ref="C7:F7"/>
    <mergeCell ref="A8:A9"/>
    <mergeCell ref="C8:F8"/>
    <mergeCell ref="C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8</vt:i4>
      </vt:variant>
    </vt:vector>
  </HeadingPairs>
  <TitlesOfParts>
    <vt:vector size="18" baseType="lpstr">
      <vt:lpstr>Synthèse SAFRAN</vt:lpstr>
      <vt:lpstr>Synthèse CDG</vt:lpstr>
      <vt:lpstr>Base STD</vt:lpstr>
      <vt:lpstr>Base 2 VAR</vt:lpstr>
      <vt:lpstr>Base 2 VAR M à 1 C a 0,6 $kg</vt:lpstr>
      <vt:lpstr>Base 2 VAR 100 % C a 0,6 $kg</vt:lpstr>
      <vt:lpstr>Base 2 VAR M à 38% C a 20%</vt:lpstr>
      <vt:lpstr>Base 2 VAR 100 % C à 20%</vt:lpstr>
      <vt:lpstr>Base 2 VAR 100 % M a 1 $kg</vt:lpstr>
      <vt:lpstr>Base 2 VAR 100 % M a 38%</vt:lpstr>
      <vt:lpstr>'Base 2 VAR'!eurodol</vt:lpstr>
      <vt:lpstr>'Base 2 VAR 100 % C a 0,6 $kg'!eurodol</vt:lpstr>
      <vt:lpstr>'Base 2 VAR 100 % C à 20%'!eurodol</vt:lpstr>
      <vt:lpstr>'Base 2 VAR 100 % M a 1 $kg'!eurodol</vt:lpstr>
      <vt:lpstr>'Base 2 VAR 100 % M a 38%'!eurodol</vt:lpstr>
      <vt:lpstr>'Base 2 VAR M à 1 C a 0,6 $kg'!eurodol</vt:lpstr>
      <vt:lpstr>'Base 2 VAR M à 38% C a 20%'!eurodol</vt:lpstr>
      <vt:lpstr>eurodol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Allier</dc:creator>
  <cp:lastModifiedBy>Raymond Allier</cp:lastModifiedBy>
  <cp:lastPrinted>2014-09-09T16:02:45Z</cp:lastPrinted>
  <dcterms:created xsi:type="dcterms:W3CDTF">2014-01-07T10:42:39Z</dcterms:created>
  <dcterms:modified xsi:type="dcterms:W3CDTF">2014-11-07T15:50:01Z</dcterms:modified>
</cp:coreProperties>
</file>