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as.proix\AppData\Local\Microsoft\Windows\Temporary Internet Files\Content.Outlook\QPPFGALR\"/>
    </mc:Choice>
  </mc:AlternateContent>
  <bookViews>
    <workbookView xWindow="0" yWindow="0" windowWidth="24000" windowHeight="9750"/>
  </bookViews>
  <sheets>
    <sheet name="2_PIC" sheetId="1" r:id="rId1"/>
  </sheets>
  <externalReferences>
    <externalReference r:id="rId2"/>
    <externalReference r:id="rId3"/>
  </externalReferences>
  <definedNames>
    <definedName name="a">#REF!=MEDIAN(#REF!,#REF!,#REF!+#REF!-1)</definedName>
    <definedName name="parité">'[1]2019_AchatsMP_Chutes_old'!$C$12</definedName>
    <definedName name="PériodeDansPlan" localSheetId="0">#REF!=MEDIAN(#REF!,#REF!,#REF!+#REF!-1)</definedName>
    <definedName name="PériodeDansPlan">#REF!=MEDIAN(#REF!,#REF!,#REF!+#REF!-1)</definedName>
    <definedName name="PériodeDansRéel" localSheetId="0">#REF!=MEDIAN(#REF!,#REF!,#REF!+#REF!-1)</definedName>
    <definedName name="PériodeDansRéel">#REF!=MEDIAN(#REF!,#REF!,#REF!+#REF!-1)</definedName>
    <definedName name="Plan" localSheetId="0">'2_PIC'!PériodeDansPlan*(#REF!&gt;0)</definedName>
    <definedName name="Plan">PériodeDansPlan*(#REF!&gt;0)</definedName>
    <definedName name="Poids_Charge">'[2]3_Appros_A'!$C$27</definedName>
    <definedName name="Poids_Lingots_vendus">'[2]5_Ventes'!$B$1</definedName>
    <definedName name="PourcentageAccompli" localSheetId="0">'2_PIC'!PourcentageAccompliAuDelà*'2_PIC'!PériodeDansPlan</definedName>
    <definedName name="PourcentageAccompli">PourcentageAccompliAuDelà*PériodeDansPlan</definedName>
    <definedName name="PourcentageAccompliAuDelà" localSheetId="0">(#REF!=MEDIAN(#REF!,#REF!,#REF!+#REF!)*(#REF!&gt;0))*((#REF!&lt;(INT(#REF!+#REF!*#REF!)))+(#REF!=#REF!))*(#REF!&gt;0)</definedName>
    <definedName name="PourcentageAccompliAuDelà">(#REF!=MEDIAN(#REF!,#REF!,#REF!+#REF!)*(#REF!&gt;0))*((#REF!&lt;(INT(#REF!+#REF!*#REF!)))+(#REF!=#REF!))*(#REF!&gt;0)</definedName>
    <definedName name="Réel" localSheetId="0">('2_PIC'!PériodeDansRéel*(#REF!&gt;0))*'2_PIC'!PériodeDansPlan</definedName>
    <definedName name="Réel">(PériodeDansRéel*(#REF!&gt;0))*PériodeDansPlan</definedName>
    <definedName name="RéelAuDelà" localSheetId="0">'2_PIC'!PériodeDansRéel*(#REF!&gt;0)</definedName>
    <definedName name="RéelAuDelà">PériodeDansRéel*(#REF!&gt;0)</definedName>
    <definedName name="t">#REF!=MEDIAN(#REF!,#REF!,#REF!+#REF!-1)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X24" i="1"/>
  <c r="O24" i="1"/>
  <c r="L24" i="1"/>
  <c r="K24" i="1"/>
  <c r="J24" i="1"/>
  <c r="Z23" i="1"/>
  <c r="H23" i="1"/>
  <c r="C23" i="1"/>
  <c r="B23" i="1"/>
  <c r="Z22" i="1"/>
  <c r="N22" i="1"/>
  <c r="M22" i="1"/>
  <c r="L22" i="1"/>
  <c r="H22" i="1"/>
  <c r="G22" i="1"/>
  <c r="C22" i="1"/>
  <c r="B22" i="1"/>
  <c r="Z21" i="1"/>
  <c r="Q21" i="1"/>
  <c r="P21" i="1"/>
  <c r="N21" i="1"/>
  <c r="G21" i="1" s="1"/>
  <c r="H21" i="1" s="1"/>
  <c r="M21" i="1"/>
  <c r="B21" i="1"/>
  <c r="Z20" i="1"/>
  <c r="G20" i="1"/>
  <c r="H20" i="1" s="1"/>
  <c r="C20" i="1"/>
  <c r="B20" i="1"/>
  <c r="Z19" i="1"/>
  <c r="P19" i="1"/>
  <c r="G19" i="1" s="1"/>
  <c r="N19" i="1"/>
  <c r="M19" i="1"/>
  <c r="L19" i="1"/>
  <c r="H19" i="1"/>
  <c r="B19" i="1"/>
  <c r="Z18" i="1"/>
  <c r="P18" i="1"/>
  <c r="O18" i="1"/>
  <c r="N18" i="1"/>
  <c r="C18" i="1" s="1"/>
  <c r="H18" i="1"/>
  <c r="G18" i="1"/>
  <c r="B18" i="1"/>
  <c r="Z17" i="1"/>
  <c r="P17" i="1"/>
  <c r="C17" i="1" s="1"/>
  <c r="O17" i="1"/>
  <c r="N17" i="1"/>
  <c r="G17" i="1" s="1"/>
  <c r="H17" i="1" s="1"/>
  <c r="M17" i="1"/>
  <c r="B17" i="1"/>
  <c r="Z16" i="1"/>
  <c r="R16" i="1"/>
  <c r="Q16" i="1"/>
  <c r="P16" i="1"/>
  <c r="B16" i="1"/>
  <c r="Z15" i="1"/>
  <c r="P15" i="1"/>
  <c r="O15" i="1"/>
  <c r="N15" i="1"/>
  <c r="G15" i="1" s="1"/>
  <c r="H15" i="1" s="1"/>
  <c r="M15" i="1"/>
  <c r="B15" i="1"/>
  <c r="Z14" i="1"/>
  <c r="T14" i="1"/>
  <c r="R14" i="1"/>
  <c r="Q14" i="1"/>
  <c r="P14" i="1"/>
  <c r="M14" i="1"/>
  <c r="L14" i="1"/>
  <c r="B14" i="1"/>
  <c r="Z13" i="1"/>
  <c r="Y13" i="1"/>
  <c r="X13" i="1"/>
  <c r="V13" i="1"/>
  <c r="U13" i="1"/>
  <c r="T13" i="1"/>
  <c r="S13" i="1"/>
  <c r="R13" i="1"/>
  <c r="Q13" i="1"/>
  <c r="C13" i="1" s="1"/>
  <c r="P13" i="1"/>
  <c r="O13" i="1"/>
  <c r="N13" i="1"/>
  <c r="N24" i="1" s="1"/>
  <c r="M13" i="1"/>
  <c r="L13" i="1"/>
  <c r="Y12" i="1"/>
  <c r="X12" i="1"/>
  <c r="W12" i="1"/>
  <c r="V12" i="1"/>
  <c r="U12" i="1"/>
  <c r="U24" i="1" s="1"/>
  <c r="T12" i="1"/>
  <c r="T24" i="1" s="1"/>
  <c r="S12" i="1"/>
  <c r="C12" i="1"/>
  <c r="B12" i="1"/>
  <c r="Z11" i="1"/>
  <c r="G11" i="1"/>
  <c r="H11" i="1" s="1"/>
  <c r="C11" i="1"/>
  <c r="B11" i="1"/>
  <c r="Z10" i="1"/>
  <c r="W10" i="1"/>
  <c r="W24" i="1" s="1"/>
  <c r="V10" i="1"/>
  <c r="T10" i="1"/>
  <c r="R10" i="1"/>
  <c r="B10" i="1"/>
  <c r="Z9" i="1"/>
  <c r="G9" i="1"/>
  <c r="H9" i="1" s="1"/>
  <c r="C9" i="1"/>
  <c r="B9" i="1"/>
  <c r="Z8" i="1"/>
  <c r="R8" i="1"/>
  <c r="R24" i="1" s="1"/>
  <c r="Q8" i="1"/>
  <c r="B8" i="1"/>
  <c r="Z7" i="1"/>
  <c r="Q7" i="1"/>
  <c r="G7" i="1"/>
  <c r="H7" i="1" s="1"/>
  <c r="C7" i="1"/>
  <c r="B7" i="1"/>
  <c r="Z6" i="1"/>
  <c r="S6" i="1"/>
  <c r="B6" i="1"/>
  <c r="Z5" i="1"/>
  <c r="W25" i="1"/>
  <c r="W26" i="1" s="1"/>
  <c r="N28" i="1"/>
  <c r="K25" i="1"/>
  <c r="J25" i="1"/>
  <c r="D2" i="1"/>
  <c r="R25" i="1" l="1"/>
  <c r="R26" i="1" s="1"/>
  <c r="B24" i="1"/>
  <c r="X28" i="1"/>
  <c r="T28" i="1"/>
  <c r="P28" i="1"/>
  <c r="V28" i="1"/>
  <c r="R28" i="1"/>
  <c r="O25" i="1"/>
  <c r="O26" i="1" s="1"/>
  <c r="N2" i="1"/>
  <c r="N1" i="1" s="1"/>
  <c r="Y28" i="1"/>
  <c r="U28" i="1"/>
  <c r="Q28" i="1"/>
  <c r="G8" i="1"/>
  <c r="H8" i="1" s="1"/>
  <c r="Q24" i="1"/>
  <c r="Q25" i="1" s="1"/>
  <c r="Q26" i="1" s="1"/>
  <c r="C8" i="1"/>
  <c r="Y24" i="1"/>
  <c r="Y25" i="1" s="1"/>
  <c r="Y26" i="1" s="1"/>
  <c r="Z12" i="1"/>
  <c r="Z24" i="1" s="1"/>
  <c r="Z25" i="1" s="1"/>
  <c r="Z26" i="1" s="1"/>
  <c r="B13" i="1"/>
  <c r="M24" i="1"/>
  <c r="B4" i="1"/>
  <c r="L25" i="1"/>
  <c r="L26" i="1" s="1"/>
  <c r="P25" i="1"/>
  <c r="P26" i="1" s="1"/>
  <c r="T25" i="1"/>
  <c r="T26" i="1" s="1"/>
  <c r="X25" i="1"/>
  <c r="X26" i="1" s="1"/>
  <c r="G10" i="1"/>
  <c r="H10" i="1" s="1"/>
  <c r="C10" i="1"/>
  <c r="G12" i="1"/>
  <c r="H12" i="1" s="1"/>
  <c r="P29" i="1"/>
  <c r="O29" i="1"/>
  <c r="Q2" i="1"/>
  <c r="Q1" i="1" s="1"/>
  <c r="N29" i="1"/>
  <c r="C24" i="1"/>
  <c r="B25" i="1"/>
  <c r="C4" i="1"/>
  <c r="M25" i="1"/>
  <c r="M26" i="1" s="1"/>
  <c r="U25" i="1"/>
  <c r="U26" i="1" s="1"/>
  <c r="G13" i="1"/>
  <c r="H13" i="1" s="1"/>
  <c r="G14" i="1"/>
  <c r="H14" i="1" s="1"/>
  <c r="C14" i="1"/>
  <c r="G16" i="1"/>
  <c r="H16" i="1" s="1"/>
  <c r="C16" i="1"/>
  <c r="P24" i="1"/>
  <c r="W29" i="1" s="1"/>
  <c r="N25" i="1"/>
  <c r="W28" i="1"/>
  <c r="S24" i="1"/>
  <c r="S25" i="1" s="1"/>
  <c r="S26" i="1" s="1"/>
  <c r="G6" i="1"/>
  <c r="H6" i="1" s="1"/>
  <c r="H4" i="1" s="1"/>
  <c r="C6" i="1"/>
  <c r="V24" i="1"/>
  <c r="V25" i="1" s="1"/>
  <c r="V26" i="1" s="1"/>
  <c r="C15" i="1"/>
  <c r="C19" i="1"/>
  <c r="C21" i="1"/>
  <c r="O28" i="1"/>
  <c r="S28" i="1"/>
  <c r="N26" i="1" l="1"/>
  <c r="C25" i="1"/>
  <c r="C26" i="1" s="1"/>
  <c r="B26" i="1"/>
  <c r="Q29" i="1"/>
  <c r="T29" i="1"/>
  <c r="U29" i="1"/>
  <c r="R29" i="1"/>
  <c r="S29" i="1"/>
  <c r="X29" i="1"/>
  <c r="Y29" i="1"/>
  <c r="V29" i="1"/>
</calcChain>
</file>

<file path=xl/comments1.xml><?xml version="1.0" encoding="utf-8"?>
<comments xmlns="http://schemas.openxmlformats.org/spreadsheetml/2006/main">
  <authors>
    <author>Nicolas Proix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Revue demande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Revue Capacités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equilibrage prePic/Pic</t>
        </r>
      </text>
    </comment>
    <comment ref="Z4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non partagé avec RA</t>
        </r>
      </text>
    </comment>
    <comment ref="Q7" authorId="0" shapeId="0">
      <text>
        <r>
          <rPr>
            <sz val="9"/>
            <color indexed="81"/>
            <rFont val="Tahoma"/>
            <family val="2"/>
          </rPr>
          <t xml:space="preserve">7/12 : voir impact décalage coulée ensemencée AIRBUS ?
</t>
        </r>
        <r>
          <rPr>
            <b/>
            <sz val="9"/>
            <color indexed="81"/>
            <rFont val="Tahoma"/>
            <family val="2"/>
          </rPr>
          <t>21/1 :</t>
        </r>
        <r>
          <rPr>
            <sz val="9"/>
            <color indexed="81"/>
            <rFont val="Tahoma"/>
            <family val="2"/>
          </rPr>
          <t xml:space="preserve"> lingot annulé, test AIRBUS ensemencement non réalisé le 21/1, et non planifié</t>
        </r>
      </text>
    </comment>
    <comment ref="R9" authorId="0" shapeId="0">
      <text>
        <r>
          <rPr>
            <b/>
            <sz val="9"/>
            <color indexed="81"/>
            <rFont val="Tahoma"/>
            <family val="2"/>
          </rPr>
          <t>21/1 : lié à la qualif SAFRAN</t>
        </r>
      </text>
    </comment>
    <comment ref="M10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12/11 : commande à venir par Xavier
=&gt; Commande reçue et switch demandé avec le MTS#3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180 beta Door Frames
70%EcoTi</t>
        </r>
      </text>
    </comment>
    <comment ref="W12" authorId="0" shapeId="0">
      <text>
        <r>
          <rPr>
            <b/>
            <sz val="9"/>
            <color indexed="81"/>
            <rFont val="Tahoma"/>
            <family val="2"/>
          </rPr>
          <t>17/9/18 (RAR,PDE,FGN,NPX)</t>
        </r>
        <r>
          <rPr>
            <sz val="9"/>
            <color indexed="81"/>
            <rFont val="Tahoma"/>
            <family val="2"/>
          </rPr>
          <t xml:space="preserve">
Besoins mini sur la base d'uen qualif 
Mars pour Airbus et
 Mai pour Spirit
zu besoin 30% du flux sept décembre, soit 18t de DP (ie 4 lingots EcoTitanium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passage à 0 suite manque capa+
non qualifié au 12/11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18/10 : sera fait avec du lingot UKTMP
12/11 : Rappel : faute de capa EcoTi</t>
        </r>
      </text>
    </comment>
    <comment ref="P14" authorId="0" shapeId="0">
      <text>
        <r>
          <rPr>
            <b/>
            <sz val="9"/>
            <color indexed="81"/>
            <rFont val="Tahoma"/>
            <family val="2"/>
          </rPr>
          <t>21/1 : 2 lingots</t>
        </r>
        <r>
          <rPr>
            <sz val="9"/>
            <color indexed="81"/>
            <rFont val="Tahoma"/>
            <family val="2"/>
          </rPr>
          <t xml:space="preserve">
potentiellement pour SAFRAN suivant évolution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retard de 1 mois
et  de 2 mois
voir opportunité d'utiliser les MCC trunnion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L#14 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l#14 initialement prévu en Dec 18
14/1 : demande de patrick : prioriser ce lingot devant les autres pour essayer de le sortir en janvier</t>
        </r>
      </text>
    </comment>
    <comment ref="O15" authorId="0" shapeId="0">
      <text>
        <r>
          <rPr>
            <b/>
            <sz val="9"/>
            <color indexed="81"/>
            <rFont val="Tahoma"/>
            <family val="2"/>
          </rPr>
          <t>7/12 :</t>
        </r>
        <r>
          <rPr>
            <sz val="9"/>
            <color indexed="81"/>
            <rFont val="Tahoma"/>
            <family val="2"/>
          </rPr>
          <t xml:space="preserve">
+1 demandé par Benoit 
</t>
        </r>
        <r>
          <rPr>
            <b/>
            <sz val="9"/>
            <color indexed="81"/>
            <rFont val="Tahoma"/>
            <family val="2"/>
          </rPr>
          <t xml:space="preserve">21/1 : </t>
        </r>
        <r>
          <rPr>
            <sz val="9"/>
            <color indexed="81"/>
            <rFont val="Tahoma"/>
            <family val="2"/>
          </rPr>
          <t>ADAMET#1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20181112 : la qualif SAFRAN prend du retard
20181123  : report début Safran
20181207 : L#14 sur Janvier</t>
        </r>
      </text>
    </comment>
    <comment ref="P16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7/12 : +4 / Benoit à revoir en janvier</t>
        </r>
      </text>
    </comment>
    <comment ref="Q16" authorId="0" shapeId="0">
      <text>
        <r>
          <rPr>
            <b/>
            <sz val="9"/>
            <color indexed="81"/>
            <rFont val="Tahoma"/>
            <family val="2"/>
          </rPr>
          <t>21/1 : -5 sur SAFRAN avec les infos actuelles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21/1 : ramp up SAFRAN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IFA#3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 IFA#4
au </t>
        </r>
      </text>
    </comment>
    <comment ref="L17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IFA#1 remplacement et
        IFA #5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IFA 5 retard  10/1
IFA 6 15/1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IFA 2018 1bis, IFA 2019 #1</t>
        </r>
      </text>
    </comment>
    <comment ref="P17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2019 IFA#2 + IFA#3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KIND Date  : 25/11</t>
        </r>
      </text>
    </comment>
    <comment ref="N18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Offre 7 lingots IFA en B348
12/11 : l'offre a peu de chance d'etre transformée selon Patrick. ABD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18/10 : -4</t>
        </r>
      </text>
    </comment>
    <comment ref="M19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18/10 : -4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20181123 : passage à 1 en PIC</t>
        </r>
      </text>
    </comment>
    <comment ref="O19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ADAMET#2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>DMD 776</t>
        </r>
      </text>
    </comment>
    <comment ref="P20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ADAMET</t>
        </r>
      </text>
    </comment>
    <comment ref="M21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Demandé initialement  juin 2018, stoppé, puis repris pour déc 2018. Report en mars pour priroriser OttoFuchs (nouvelle commande)  à la demande d'UKAD
LE MTS 3 a été repoussé à la demande d'UKAD pour servir ce lingot sur Otto</t>
        </r>
      </text>
    </comment>
    <comment ref="O21" authorId="0" shapeId="0">
      <text>
        <r>
          <rPr>
            <b/>
            <sz val="9"/>
            <color indexed="81"/>
            <rFont val="Tahoma"/>
            <family val="2"/>
          </rPr>
          <t>Commande MTS#3 et nouvelle commande ARC sur Mars 2019</t>
        </r>
      </text>
    </comment>
    <comment ref="P21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MTS#3 7779 décalé d'un commun accord
201812 : 2 nouvelles Cde MTS 9245</t>
        </r>
      </text>
    </comment>
    <comment ref="Q21" authorId="0" shapeId="0">
      <text>
        <r>
          <rPr>
            <b/>
            <sz val="9"/>
            <color indexed="81"/>
            <rFont val="Tahoma"/>
            <family val="2"/>
          </rPr>
          <t>21/1 : les besoins sont déjà portés par les autres lignes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18/10 : -1 suite manque capa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18/10 : -1 suite manque capa</t>
        </r>
      </text>
    </comment>
  </commentList>
</comments>
</file>

<file path=xl/sharedStrings.xml><?xml version="1.0" encoding="utf-8"?>
<sst xmlns="http://schemas.openxmlformats.org/spreadsheetml/2006/main" count="42" uniqueCount="42">
  <si>
    <t>YTD</t>
  </si>
  <si>
    <t>Lingots sortis</t>
  </si>
  <si>
    <t>Lingots affectés</t>
  </si>
  <si>
    <t>Hyp EC</t>
  </si>
  <si>
    <t xml:space="preserve"> Lingots</t>
  </si>
  <si>
    <t>CA (USD)</t>
  </si>
  <si>
    <t>Prix EC</t>
  </si>
  <si>
    <t>Capa</t>
  </si>
  <si>
    <t>Lingots</t>
  </si>
  <si>
    <t>Massifs</t>
  </si>
  <si>
    <t>Copeaux</t>
  </si>
  <si>
    <t>USD/kg</t>
  </si>
  <si>
    <t>Hypothèse PIC lors de la revue de la demande</t>
  </si>
  <si>
    <t>exprimé en % DP</t>
  </si>
  <si>
    <t>Demande</t>
  </si>
  <si>
    <t xml:space="preserve">Airbus Nouveau développements EcoTitanium </t>
  </si>
  <si>
    <t>Airbus  Développement Pamiers EcoTitanium</t>
  </si>
  <si>
    <t>Liebherr</t>
  </si>
  <si>
    <t>Forgital 6-4 couronnes aéro Safran ou RR</t>
  </si>
  <si>
    <t>Otto Fuchs</t>
  </si>
  <si>
    <t>Bohler B brame pour tôles (255 x 655)</t>
  </si>
  <si>
    <t>Switch UKTMP vers EcoTi (DF Spirit : 30/70)</t>
  </si>
  <si>
    <t>Bombardier via AD</t>
  </si>
  <si>
    <t>MCC Trunnion Global 700 Pamiers</t>
  </si>
  <si>
    <t>Qualif SAFRAN</t>
  </si>
  <si>
    <t>Safran 6-4 Aero Booster EcoTi</t>
  </si>
  <si>
    <t>AMS4928 Vente Dir. IFA (carnet)</t>
  </si>
  <si>
    <t>AMS4928 Vente Lingots Dir. Autres (Pot.)</t>
  </si>
  <si>
    <t>DP AMS 4928 + Industriel</t>
  </si>
  <si>
    <t>Stockistes, standard</t>
  </si>
  <si>
    <t>Stock Decouplage UKAD</t>
  </si>
  <si>
    <t>Stock Découplage EcoTitanium</t>
  </si>
  <si>
    <t>Besoin potentiel offres</t>
  </si>
  <si>
    <t>Total</t>
  </si>
  <si>
    <t>Reste capa Lingots</t>
  </si>
  <si>
    <t>Reste %Capa</t>
  </si>
  <si>
    <t>N/A</t>
  </si>
  <si>
    <t>NA</t>
  </si>
  <si>
    <t>Capa 2019 cumulée</t>
  </si>
  <si>
    <t>Besoin 2019 cumulés</t>
  </si>
  <si>
    <t>Budget 2019</t>
  </si>
  <si>
    <t>Budget 2019 cumulé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</si>
</sst>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1ED8AC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16" fontId="0" fillId="2" borderId="1" xfId="0" applyNumberFormat="1" applyFill="1" applyBorder="1"/>
    <xf numFmtId="16" fontId="0" fillId="3" borderId="1" xfId="0" applyNumberFormat="1" applyFill="1" applyBorder="1"/>
    <xf numFmtId="16" fontId="0" fillId="0" borderId="1" xfId="0" applyNumberFormat="1" applyBorder="1"/>
    <xf numFmtId="9" fontId="0" fillId="0" borderId="0" xfId="2" applyFont="1"/>
    <xf numFmtId="0" fontId="3" fillId="4" borderId="0" xfId="0" applyFont="1" applyFill="1"/>
    <xf numFmtId="0" fontId="3" fillId="0" borderId="2" xfId="0" applyFont="1" applyBorder="1"/>
    <xf numFmtId="0" fontId="0" fillId="5" borderId="1" xfId="0" applyFill="1" applyBorder="1"/>
    <xf numFmtId="0" fontId="0" fillId="6" borderId="1" xfId="0" applyFill="1" applyBorder="1"/>
    <xf numFmtId="0" fontId="0" fillId="0" borderId="2" xfId="0" applyBorder="1" applyAlignment="1">
      <alignment horizontal="center" vertical="center"/>
    </xf>
    <xf numFmtId="17" fontId="4" fillId="7" borderId="3" xfId="0" applyNumberFormat="1" applyFont="1" applyFill="1" applyBorder="1" applyAlignment="1">
      <alignment horizontal="center" vertical="center"/>
    </xf>
    <xf numFmtId="17" fontId="4" fillId="8" borderId="3" xfId="0" applyNumberFormat="1" applyFont="1" applyFill="1" applyBorder="1" applyAlignment="1">
      <alignment horizontal="center" vertical="center"/>
    </xf>
    <xf numFmtId="17" fontId="4" fillId="7" borderId="4" xfId="0" applyNumberFormat="1" applyFont="1" applyFill="1" applyBorder="1" applyAlignment="1">
      <alignment horizontal="center" vertical="center"/>
    </xf>
    <xf numFmtId="17" fontId="4" fillId="6" borderId="5" xfId="0" applyNumberFormat="1" applyFont="1" applyFill="1" applyBorder="1" applyAlignment="1">
      <alignment horizontal="center" vertical="center"/>
    </xf>
    <xf numFmtId="17" fontId="4" fillId="6" borderId="3" xfId="0" applyNumberFormat="1" applyFont="1" applyFill="1" applyBorder="1" applyAlignment="1">
      <alignment horizontal="center" vertical="center"/>
    </xf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0" fillId="0" borderId="6" xfId="0" applyBorder="1"/>
    <xf numFmtId="0" fontId="0" fillId="0" borderId="9" xfId="0" applyBorder="1"/>
    <xf numFmtId="43" fontId="3" fillId="0" borderId="9" xfId="1" applyFont="1" applyBorder="1"/>
    <xf numFmtId="0" fontId="0" fillId="9" borderId="9" xfId="0" applyFill="1" applyBorder="1"/>
    <xf numFmtId="0" fontId="3" fillId="8" borderId="9" xfId="0" applyFont="1" applyFill="1" applyBorder="1"/>
    <xf numFmtId="0" fontId="3" fillId="8" borderId="10" xfId="0" applyFont="1" applyFill="1" applyBorder="1"/>
    <xf numFmtId="0" fontId="2" fillId="10" borderId="11" xfId="0" applyFont="1" applyFill="1" applyBorder="1"/>
    <xf numFmtId="0" fontId="2" fillId="11" borderId="12" xfId="0" applyFont="1" applyFill="1" applyBorder="1"/>
    <xf numFmtId="0" fontId="2" fillId="11" borderId="13" xfId="0" applyFont="1" applyFill="1" applyBorder="1"/>
    <xf numFmtId="0" fontId="2" fillId="12" borderId="0" xfId="0" applyFont="1" applyFill="1" applyBorder="1"/>
    <xf numFmtId="0" fontId="0" fillId="0" borderId="14" xfId="0" applyBorder="1"/>
    <xf numFmtId="0" fontId="5" fillId="13" borderId="14" xfId="0" applyFont="1" applyFill="1" applyBorder="1"/>
    <xf numFmtId="0" fontId="0" fillId="0" borderId="12" xfId="0" applyBorder="1"/>
    <xf numFmtId="0" fontId="0" fillId="9" borderId="12" xfId="0" applyFill="1" applyBorder="1"/>
    <xf numFmtId="0" fontId="0" fillId="8" borderId="12" xfId="0" applyFill="1" applyBorder="1"/>
    <xf numFmtId="0" fontId="3" fillId="8" borderId="12" xfId="0" applyFont="1" applyFill="1" applyBorder="1"/>
    <xf numFmtId="0" fontId="0" fillId="8" borderId="15" xfId="0" applyFont="1" applyFill="1" applyBorder="1"/>
    <xf numFmtId="0" fontId="3" fillId="13" borderId="2" xfId="0" applyFont="1" applyFill="1" applyBorder="1"/>
    <xf numFmtId="0" fontId="0" fillId="13" borderId="2" xfId="0" applyFont="1" applyFill="1" applyBorder="1"/>
    <xf numFmtId="0" fontId="0" fillId="0" borderId="2" xfId="0" applyBorder="1"/>
    <xf numFmtId="16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7" xfId="0" applyFill="1" applyBorder="1"/>
    <xf numFmtId="9" fontId="0" fillId="0" borderId="18" xfId="0" applyNumberFormat="1" applyFill="1" applyBorder="1"/>
    <xf numFmtId="43" fontId="0" fillId="0" borderId="18" xfId="1" applyFont="1" applyFill="1" applyBorder="1"/>
    <xf numFmtId="0" fontId="0" fillId="9" borderId="18" xfId="0" applyFill="1" applyBorder="1"/>
    <xf numFmtId="0" fontId="0" fillId="8" borderId="18" xfId="0" applyFill="1" applyBorder="1"/>
    <xf numFmtId="0" fontId="3" fillId="8" borderId="18" xfId="0" applyFont="1" applyFill="1" applyBorder="1"/>
    <xf numFmtId="0" fontId="0" fillId="8" borderId="19" xfId="0" applyFont="1" applyFill="1" applyBorder="1"/>
    <xf numFmtId="0" fontId="3" fillId="0" borderId="18" xfId="0" applyFont="1" applyBorder="1"/>
    <xf numFmtId="0" fontId="0" fillId="0" borderId="18" xfId="0" applyFont="1" applyBorder="1"/>
    <xf numFmtId="0" fontId="0" fillId="0" borderId="20" xfId="0" applyBorder="1"/>
    <xf numFmtId="164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22" xfId="0" applyFill="1" applyBorder="1"/>
    <xf numFmtId="9" fontId="0" fillId="0" borderId="1" xfId="0" applyNumberFormat="1" applyFill="1" applyBorder="1"/>
    <xf numFmtId="43" fontId="0" fillId="0" borderId="1" xfId="1" applyFont="1" applyFill="1" applyBorder="1"/>
    <xf numFmtId="0" fontId="0" fillId="9" borderId="1" xfId="0" applyFill="1" applyBorder="1"/>
    <xf numFmtId="0" fontId="0" fillId="8" borderId="1" xfId="0" applyFill="1" applyBorder="1"/>
    <xf numFmtId="0" fontId="3" fillId="8" borderId="1" xfId="0" applyFont="1" applyFill="1" applyBorder="1"/>
    <xf numFmtId="0" fontId="0" fillId="8" borderId="23" xfId="0" applyFont="1" applyFill="1" applyBorder="1"/>
    <xf numFmtId="0" fontId="3" fillId="0" borderId="1" xfId="0" applyFont="1" applyBorder="1"/>
    <xf numFmtId="0" fontId="0" fillId="0" borderId="1" xfId="0" applyFont="1" applyBorder="1"/>
    <xf numFmtId="0" fontId="0" fillId="0" borderId="24" xfId="0" applyBorder="1"/>
    <xf numFmtId="0" fontId="3" fillId="8" borderId="23" xfId="0" applyFont="1" applyFill="1" applyBorder="1"/>
    <xf numFmtId="0" fontId="3" fillId="14" borderId="1" xfId="0" applyFont="1" applyFill="1" applyBorder="1"/>
    <xf numFmtId="0" fontId="0" fillId="0" borderId="22" xfId="0" applyBorder="1"/>
    <xf numFmtId="9" fontId="0" fillId="0" borderId="1" xfId="0" applyNumberFormat="1" applyBorder="1"/>
    <xf numFmtId="0" fontId="3" fillId="0" borderId="24" xfId="0" applyFont="1" applyBorder="1"/>
    <xf numFmtId="0" fontId="3" fillId="15" borderId="1" xfId="0" applyFont="1" applyFill="1" applyBorder="1"/>
    <xf numFmtId="0" fontId="0" fillId="0" borderId="1" xfId="0" applyBorder="1"/>
    <xf numFmtId="0" fontId="0" fillId="0" borderId="1" xfId="0" applyFill="1" applyBorder="1"/>
    <xf numFmtId="164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3" fillId="0" borderId="27" xfId="0" applyFont="1" applyBorder="1"/>
    <xf numFmtId="0" fontId="0" fillId="0" borderId="28" xfId="0" applyFont="1" applyBorder="1"/>
    <xf numFmtId="0" fontId="0" fillId="9" borderId="28" xfId="0" applyFont="1" applyFill="1" applyBorder="1"/>
    <xf numFmtId="0" fontId="3" fillId="8" borderId="28" xfId="0" applyFont="1" applyFill="1" applyBorder="1"/>
    <xf numFmtId="0" fontId="3" fillId="8" borderId="29" xfId="0" applyFont="1" applyFill="1" applyBorder="1"/>
    <xf numFmtId="0" fontId="3" fillId="0" borderId="28" xfId="0" applyFont="1" applyBorder="1"/>
    <xf numFmtId="0" fontId="3" fillId="0" borderId="30" xfId="0" applyFont="1" applyBorder="1"/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3" borderId="31" xfId="0" applyFill="1" applyBorder="1"/>
    <xf numFmtId="0" fontId="0" fillId="3" borderId="33" xfId="0" applyFill="1" applyBorder="1"/>
    <xf numFmtId="0" fontId="0" fillId="9" borderId="33" xfId="0" applyFill="1" applyBorder="1"/>
    <xf numFmtId="0" fontId="3" fillId="8" borderId="34" xfId="0" applyFont="1" applyFill="1" applyBorder="1"/>
    <xf numFmtId="0" fontId="3" fillId="8" borderId="35" xfId="0" applyFont="1" applyFill="1" applyBorder="1"/>
    <xf numFmtId="0" fontId="3" fillId="0" borderId="31" xfId="0" applyFont="1" applyBorder="1"/>
    <xf numFmtId="0" fontId="3" fillId="0" borderId="34" xfId="0" applyFont="1" applyBorder="1"/>
    <xf numFmtId="0" fontId="3" fillId="0" borderId="35" xfId="0" applyFont="1" applyBorder="1"/>
    <xf numFmtId="9" fontId="7" fillId="0" borderId="36" xfId="2" applyFont="1" applyFill="1" applyBorder="1" applyAlignment="1">
      <alignment horizontal="center" vertical="center"/>
    </xf>
    <xf numFmtId="0" fontId="0" fillId="3" borderId="36" xfId="0" applyFill="1" applyBorder="1"/>
    <xf numFmtId="0" fontId="0" fillId="3" borderId="28" xfId="0" applyFill="1" applyBorder="1"/>
    <xf numFmtId="0" fontId="0" fillId="9" borderId="28" xfId="0" applyFill="1" applyBorder="1"/>
    <xf numFmtId="9" fontId="0" fillId="8" borderId="28" xfId="2" applyFont="1" applyFill="1" applyBorder="1" applyAlignment="1">
      <alignment horizontal="center" vertical="center"/>
    </xf>
    <xf numFmtId="9" fontId="0" fillId="8" borderId="28" xfId="2" applyFont="1" applyFill="1" applyBorder="1"/>
    <xf numFmtId="9" fontId="0" fillId="8" borderId="30" xfId="2" applyFont="1" applyFill="1" applyBorder="1"/>
    <xf numFmtId="9" fontId="0" fillId="0" borderId="36" xfId="2" applyFont="1" applyBorder="1"/>
    <xf numFmtId="9" fontId="0" fillId="0" borderId="28" xfId="2" applyFont="1" applyBorder="1"/>
    <xf numFmtId="9" fontId="0" fillId="0" borderId="30" xfId="2" applyFont="1" applyBorder="1"/>
    <xf numFmtId="0" fontId="0" fillId="3" borderId="1" xfId="0" applyFill="1" applyBorder="1"/>
    <xf numFmtId="0" fontId="3" fillId="0" borderId="0" xfId="0" applyFont="1"/>
    <xf numFmtId="0" fontId="0" fillId="2" borderId="1" xfId="0" applyFill="1" applyBorder="1"/>
    <xf numFmtId="16" fontId="0" fillId="0" borderId="0" xfId="0" applyNumberFormat="1"/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2" borderId="16" xfId="0" applyFont="1" applyFill="1" applyBorder="1" applyAlignment="1">
      <alignment horizontal="center" textRotation="90"/>
    </xf>
    <xf numFmtId="0" fontId="6" fillId="2" borderId="21" xfId="0" applyFont="1" applyFill="1" applyBorder="1" applyAlignment="1">
      <alignment horizontal="center" textRotation="90"/>
    </xf>
    <xf numFmtId="0" fontId="6" fillId="2" borderId="25" xfId="0" applyFont="1" applyFill="1" applyBorder="1" applyAlignment="1">
      <alignment horizontal="center" textRotation="9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543085</xdr:colOff>
      <xdr:row>31</xdr:row>
      <xdr:rowOff>175990</xdr:rowOff>
    </xdr:from>
    <xdr:to>
      <xdr:col>20</xdr:col>
      <xdr:colOff>666349</xdr:colOff>
      <xdr:row>58</xdr:row>
      <xdr:rowOff>47626</xdr:rowOff>
    </xdr:to>
    <xdr:sp macro="" textlink="">
      <xdr:nvSpPr>
        <xdr:cNvPr id="2" name="ZoneTexte 1"/>
        <xdr:cNvSpPr txBox="1"/>
      </xdr:nvSpPr>
      <xdr:spPr>
        <a:xfrm>
          <a:off x="2333785" y="5890990"/>
          <a:ext cx="10000689" cy="50151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14/1: revue Demande (Patrick,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Fabien, Xavier, Michaël, Nicolas)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Peut on faire en prio 1 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SAFRAN (ADAMET), prio 2 : 2 doubles VAR (visée IFA).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actuellement le SAFRAN L #14 (adamet) glisse sur Février.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IFA : 2 prévus sur Janvier, 1 seul honoré : IFA#5 : IFA#6 décalé à Février 2019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double melt sont à priori affectés à IFA (mais écart AMS2380 : point sera vu par PAtrick)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EcoTitanium stocke de découplage : passe de janvier est décalé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SAFRAN : 7 ok, 2 encours (XAAC et XAAD),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 en suspens (WAHN, défaut US, lingot à risque) + L#14 en backup du lingot à risque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Rq ADAMET : finalité YASA (Boeing) : il ne faut pas avoir 2 élaborations différentes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2 lingots de Février 1+1 demandé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 Benoit en décembre : 1 en Février, 1 en MArs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pas de ventes directes de lingot en février en dehors de IFA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besoins DP février 2019 étaient ADAMET, ils sont en partie servis par SAFRAN</a:t>
          </a:r>
          <a:endParaRPr lang="fr-FR">
            <a:effectLst/>
          </a:endParaRPr>
        </a:p>
        <a:p>
          <a:endParaRPr lang="fr-FR" sz="1100" b="0"/>
        </a:p>
        <a:p>
          <a:r>
            <a:rPr lang="fr-FR" sz="1100" b="1"/>
            <a:t>18/1 :</a:t>
          </a:r>
          <a:r>
            <a:rPr lang="fr-FR" sz="1100" b="1" baseline="0"/>
            <a:t> revue de la capacité (Raymond, Nicolas)</a:t>
          </a:r>
          <a:endParaRPr lang="fr-FR" sz="1100" b="1"/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Arret UPB semaine 6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Arret PAM et VAR pour mise au norme SAFRAN (3 jours arrêt PAM à partir de S5, 1 semaine VAR à partir de S6)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Retard recrutement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Production : opérateurs (-5 opérateurs, -3 mainteneurs vs le budget dès le 1er Janvier 2019),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MQP : (-2). Hypothèse prise d'amélioration LT progressive</a:t>
          </a:r>
          <a:r>
            <a:rPr lang="fr-FR"/>
            <a:t> </a:t>
          </a:r>
        </a:p>
        <a:p>
          <a:r>
            <a:rPr lang="fr-FR" sz="1100" b="0"/>
            <a:t>Action de contingence </a:t>
          </a:r>
          <a:r>
            <a:rPr lang="fr-FR" sz="1100" b="0" baseline="0"/>
            <a:t>retard : </a:t>
          </a: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ouvertur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Usine le dimanche et </a:t>
          </a:r>
          <a:r>
            <a:rPr lang="fr-FR" sz="1100" b="0"/>
            <a:t>Hypothèse de réduction temps de traversée </a:t>
          </a:r>
        </a:p>
        <a:p>
          <a:r>
            <a:rPr lang="fr-FR" sz="1100" b="1"/>
            <a:t>21/1 : réunion (Patrick, Raymond,</a:t>
          </a:r>
          <a:r>
            <a:rPr lang="fr-FR" sz="1100" b="1" baseline="0"/>
            <a:t> Fabien, Xavier)</a:t>
          </a:r>
        </a:p>
        <a:p>
          <a:r>
            <a:rPr lang="fr-FR" sz="1100" b="0" baseline="0"/>
            <a:t>- Equilibrage réalisé, majoritairement par report SAFRAN</a:t>
          </a:r>
        </a:p>
        <a:p>
          <a:r>
            <a:rPr lang="fr-FR" sz="1100" b="0" baseline="0"/>
            <a:t>- ajustement des stocks de découplage</a:t>
          </a:r>
        </a:p>
        <a:p>
          <a:r>
            <a:rPr lang="fr-FR" sz="1100" b="0" baseline="0"/>
            <a:t>- report AIRBUS</a:t>
          </a:r>
        </a:p>
        <a:p>
          <a:r>
            <a:rPr lang="fr-FR" sz="1100" b="0" baseline="0"/>
            <a:t>- commentaire dans les cellules</a:t>
          </a:r>
        </a:p>
      </xdr:txBody>
    </xdr:sp>
    <xdr:clientData/>
  </xdr:twoCellAnchor>
  <xdr:twoCellAnchor>
    <xdr:from>
      <xdr:col>25</xdr:col>
      <xdr:colOff>23811</xdr:colOff>
      <xdr:row>0</xdr:row>
      <xdr:rowOff>23812</xdr:rowOff>
    </xdr:from>
    <xdr:to>
      <xdr:col>28</xdr:col>
      <xdr:colOff>35718</xdr:colOff>
      <xdr:row>32</xdr:row>
      <xdr:rowOff>107156</xdr:rowOff>
    </xdr:to>
    <xdr:sp macro="" textlink="">
      <xdr:nvSpPr>
        <xdr:cNvPr id="3" name="Rectangle 2"/>
        <xdr:cNvSpPr/>
      </xdr:nvSpPr>
      <xdr:spPr>
        <a:xfrm>
          <a:off x="15299530" y="23812"/>
          <a:ext cx="2297907" cy="594121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olas.proix/Documents/PRIVATE/1000_NPROIX/03500_Suivi/Budget2019/Budget2019_Supply_v1.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Filer-01\Ecotitanium\04_SupplyChain\03_Service\03_TABLEAUX%20DE%20BORD\03_PR&#201;VISION\10_PIC\201901\3_PIC\PIC_20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Personnel"/>
      <sheetName val="CR20180823"/>
      <sheetName val="Focus_UKAD_Gen_old"/>
      <sheetName val="UKAD_Gen_Source"/>
      <sheetName val="UKAD_Chutes_Nettes"/>
      <sheetName val="Article"/>
      <sheetName val="EcoTi_Famille"/>
      <sheetName val="Famille_Mapping"/>
      <sheetName val="Rebuts2019"/>
      <sheetName val="Famille_BOM"/>
      <sheetName val="Appros"/>
      <sheetName val="Appros (3)"/>
      <sheetName val="Appros_REF"/>
      <sheetName val="Appros_REF_ycRebuts"/>
      <sheetName val="2019_AchatsMP_Chutes_old"/>
      <sheetName val="2019_AchatsMP_Chutes "/>
      <sheetName val="2019_Soustraitance"/>
      <sheetName val="ProductionLINGOTS"/>
      <sheetName val="Ventes"/>
      <sheetName val="DépensesAnnexes"/>
      <sheetName val="Investissements"/>
      <sheetName val="P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2">
          <cell r="C12">
            <v>1.2350000000000001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_Demande"/>
      <sheetName val="0_Demande_old"/>
      <sheetName val="1_Capa"/>
      <sheetName val="3_Appros_A"/>
      <sheetName val="4_Achats_A"/>
      <sheetName val="2_PIC"/>
      <sheetName val="4_Appros_M"/>
      <sheetName val="5_Ventes"/>
      <sheetName val="Budgets_Hypothèse"/>
      <sheetName val="6_IM_old"/>
      <sheetName val="6_IM"/>
      <sheetName val="9_Report"/>
      <sheetName val="SAFRAN"/>
      <sheetName val="Famille_BOM"/>
    </sheetNames>
    <sheetDataSet>
      <sheetData sheetId="0"/>
      <sheetData sheetId="1"/>
      <sheetData sheetId="2">
        <row r="17">
          <cell r="E17">
            <v>1</v>
          </cell>
        </row>
      </sheetData>
      <sheetData sheetId="3">
        <row r="27">
          <cell r="C27">
            <v>7.4</v>
          </cell>
        </row>
      </sheetData>
      <sheetData sheetId="4"/>
      <sheetData sheetId="5"/>
      <sheetData sheetId="6"/>
      <sheetData sheetId="7">
        <row r="1">
          <cell r="B1">
            <v>6.8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Z32"/>
  <sheetViews>
    <sheetView tabSelected="1" zoomScale="80" zoomScaleNormal="80" workbookViewId="0">
      <pane xSplit="12" ySplit="17" topLeftCell="M18" activePane="bottomRight" state="frozen"/>
      <selection activeCell="H32" sqref="H32"/>
      <selection pane="topRight" activeCell="H32" sqref="H32"/>
      <selection pane="bottomLeft" activeCell="H32" sqref="H32"/>
      <selection pane="bottomRight" activeCell="AC10" sqref="AC10"/>
    </sheetView>
  </sheetViews>
  <sheetFormatPr baseColWidth="10" defaultRowHeight="15" x14ac:dyDescent="0.25"/>
  <cols>
    <col min="1" max="1" width="10.140625" bestFit="1" customWidth="1"/>
    <col min="2" max="2" width="8.85546875" customWidth="1"/>
    <col min="3" max="3" width="7.85546875" customWidth="1"/>
    <col min="4" max="4" width="44.28515625" customWidth="1"/>
    <col min="5" max="9" width="1.5703125" customWidth="1"/>
    <col min="10" max="12" width="5.28515625" customWidth="1"/>
    <col min="13" max="13" width="9.42578125" customWidth="1"/>
    <col min="14" max="25" width="10.28515625" customWidth="1"/>
  </cols>
  <sheetData>
    <row r="1" spans="1:26" x14ac:dyDescent="0.25">
      <c r="A1" s="1">
        <v>43441</v>
      </c>
      <c r="B1" s="2">
        <v>43483</v>
      </c>
      <c r="C1" s="3">
        <v>43486</v>
      </c>
      <c r="N1">
        <f>N2*6.8</f>
        <v>836.4</v>
      </c>
      <c r="Q1" s="4">
        <f>Q2/N2</f>
        <v>1</v>
      </c>
    </row>
    <row r="2" spans="1:26" ht="15.75" thickBot="1" x14ac:dyDescent="0.3">
      <c r="B2" t="s">
        <v>0</v>
      </c>
      <c r="D2" s="5" t="str">
        <f>"PIC "&amp;TEXT(A1,"Mmmm ")&amp;YEAR(A1)</f>
        <v>PIC décembre 2018</v>
      </c>
      <c r="E2" s="5"/>
      <c r="F2" s="5"/>
      <c r="G2" s="5">
        <v>2019</v>
      </c>
      <c r="H2" s="5"/>
      <c r="N2" s="6">
        <f>SUM(N4:Y4)</f>
        <v>123</v>
      </c>
      <c r="O2" s="103" t="s">
        <v>1</v>
      </c>
      <c r="P2" s="103"/>
      <c r="Q2" s="6">
        <f>SUM(N24:Y24)</f>
        <v>123</v>
      </c>
      <c r="R2" s="104" t="s">
        <v>2</v>
      </c>
      <c r="S2" s="104"/>
    </row>
    <row r="3" spans="1:26" ht="14.25" customHeight="1" thickBot="1" x14ac:dyDescent="0.3">
      <c r="B3" s="7">
        <v>2018</v>
      </c>
      <c r="C3" s="8">
        <v>2019</v>
      </c>
      <c r="E3" s="105" t="s">
        <v>3</v>
      </c>
      <c r="F3" s="105"/>
      <c r="G3" s="9" t="s">
        <v>4</v>
      </c>
      <c r="H3" s="9" t="s">
        <v>5</v>
      </c>
      <c r="I3" s="10" t="s">
        <v>6</v>
      </c>
      <c r="J3" s="11">
        <v>43344</v>
      </c>
      <c r="K3" s="11">
        <v>43374</v>
      </c>
      <c r="L3" s="11">
        <v>43405</v>
      </c>
      <c r="M3" s="12">
        <v>43435</v>
      </c>
      <c r="N3" s="13">
        <v>43466</v>
      </c>
      <c r="O3" s="14">
        <v>43497</v>
      </c>
      <c r="P3" s="14">
        <v>43525</v>
      </c>
      <c r="Q3" s="14">
        <v>43556</v>
      </c>
      <c r="R3" s="14">
        <v>43586</v>
      </c>
      <c r="S3" s="14">
        <v>43617</v>
      </c>
      <c r="T3" s="14">
        <v>43647</v>
      </c>
      <c r="U3" s="14">
        <v>43678</v>
      </c>
      <c r="V3" s="14">
        <v>43709</v>
      </c>
      <c r="W3" s="14">
        <v>43739</v>
      </c>
      <c r="X3" s="14">
        <v>43770</v>
      </c>
      <c r="Y3" s="14">
        <v>43800</v>
      </c>
      <c r="Z3" s="10">
        <v>43831</v>
      </c>
    </row>
    <row r="4" spans="1:26" ht="14.25" customHeight="1" thickBot="1" x14ac:dyDescent="0.3">
      <c r="A4" s="15" t="s">
        <v>7</v>
      </c>
      <c r="B4" s="16">
        <f>SUM(I4:M4)</f>
        <v>5</v>
      </c>
      <c r="C4" s="17">
        <f>SUM(N4:Y4)</f>
        <v>123</v>
      </c>
      <c r="D4" s="18" t="s">
        <v>8</v>
      </c>
      <c r="E4" s="19" t="s">
        <v>9</v>
      </c>
      <c r="F4" s="19" t="s">
        <v>10</v>
      </c>
      <c r="G4" s="19"/>
      <c r="H4" s="20">
        <f>SUM(H5:H23)</f>
        <v>11733.807999999999</v>
      </c>
      <c r="I4" s="21" t="s">
        <v>11</v>
      </c>
      <c r="J4" s="22">
        <v>1</v>
      </c>
      <c r="K4" s="22">
        <v>0</v>
      </c>
      <c r="L4" s="22">
        <v>3</v>
      </c>
      <c r="M4" s="23">
        <v>1</v>
      </c>
      <c r="N4" s="24">
        <v>2</v>
      </c>
      <c r="O4" s="25">
        <v>6</v>
      </c>
      <c r="P4" s="25">
        <v>11</v>
      </c>
      <c r="Q4" s="25">
        <v>8</v>
      </c>
      <c r="R4" s="25">
        <v>9</v>
      </c>
      <c r="S4" s="25">
        <v>13</v>
      </c>
      <c r="T4" s="25">
        <v>15</v>
      </c>
      <c r="U4" s="25">
        <v>2</v>
      </c>
      <c r="V4" s="25">
        <v>15</v>
      </c>
      <c r="W4" s="25">
        <v>16</v>
      </c>
      <c r="X4" s="25">
        <v>15</v>
      </c>
      <c r="Y4" s="26">
        <v>11</v>
      </c>
      <c r="Z4" s="27">
        <v>0</v>
      </c>
    </row>
    <row r="5" spans="1:26" ht="14.25" customHeight="1" thickBot="1" x14ac:dyDescent="0.3">
      <c r="A5" s="28"/>
      <c r="B5" s="28"/>
      <c r="C5" s="28"/>
      <c r="D5" s="29" t="s">
        <v>12</v>
      </c>
      <c r="E5" s="30" t="s">
        <v>13</v>
      </c>
      <c r="F5" s="30"/>
      <c r="G5" s="30"/>
      <c r="H5" s="30"/>
      <c r="I5" s="31"/>
      <c r="J5" s="32"/>
      <c r="K5" s="33"/>
      <c r="L5" s="33"/>
      <c r="M5" s="34"/>
      <c r="N5" s="35">
        <v>2</v>
      </c>
      <c r="O5" s="35">
        <v>6</v>
      </c>
      <c r="P5" s="36">
        <v>8</v>
      </c>
      <c r="Q5" s="36">
        <v>12</v>
      </c>
      <c r="R5" s="36">
        <v>11</v>
      </c>
      <c r="S5" s="36">
        <v>13</v>
      </c>
      <c r="T5" s="36">
        <v>15</v>
      </c>
      <c r="U5" s="36">
        <v>2</v>
      </c>
      <c r="V5" s="36">
        <v>15</v>
      </c>
      <c r="W5" s="36">
        <v>16</v>
      </c>
      <c r="X5" s="36">
        <v>15</v>
      </c>
      <c r="Y5" s="36">
        <v>11</v>
      </c>
      <c r="Z5" s="37">
        <f>1.2*Y5</f>
        <v>13.2</v>
      </c>
    </row>
    <row r="6" spans="1:26" ht="14.25" customHeight="1" x14ac:dyDescent="0.25">
      <c r="A6" s="106" t="s">
        <v>14</v>
      </c>
      <c r="B6" s="38">
        <f t="shared" ref="B6:B23" si="0">SUM(J6:M6)</f>
        <v>0</v>
      </c>
      <c r="C6" s="39">
        <f t="shared" ref="C6:C24" si="1">SUM(N6:Y6)</f>
        <v>1</v>
      </c>
      <c r="D6" s="40" t="s">
        <v>15</v>
      </c>
      <c r="E6" s="41">
        <v>0.2</v>
      </c>
      <c r="F6" s="41">
        <v>0.4</v>
      </c>
      <c r="G6" s="42">
        <f>SUM(N6:Y6)</f>
        <v>1</v>
      </c>
      <c r="H6" s="42">
        <f>G6*6.8*I6</f>
        <v>113.55999999999999</v>
      </c>
      <c r="I6" s="43">
        <v>16.7</v>
      </c>
      <c r="J6" s="44"/>
      <c r="K6" s="45"/>
      <c r="L6" s="45"/>
      <c r="M6" s="46"/>
      <c r="N6" s="47">
        <v>0</v>
      </c>
      <c r="O6" s="47">
        <v>0</v>
      </c>
      <c r="P6" s="47">
        <v>0</v>
      </c>
      <c r="Q6" s="48">
        <v>0</v>
      </c>
      <c r="R6" s="48">
        <v>0</v>
      </c>
      <c r="S6" s="47">
        <f>1-1</f>
        <v>0</v>
      </c>
      <c r="T6" s="48">
        <v>0</v>
      </c>
      <c r="U6" s="48">
        <v>0</v>
      </c>
      <c r="V6" s="48">
        <v>1</v>
      </c>
      <c r="W6" s="48">
        <v>0</v>
      </c>
      <c r="X6" s="48">
        <v>0</v>
      </c>
      <c r="Y6" s="48">
        <v>0</v>
      </c>
      <c r="Z6" s="49">
        <f t="shared" ref="Z6:Z23" si="2">1.2*Y6</f>
        <v>0</v>
      </c>
    </row>
    <row r="7" spans="1:26" ht="14.25" customHeight="1" x14ac:dyDescent="0.25">
      <c r="A7" s="107"/>
      <c r="B7" s="50">
        <f t="shared" si="0"/>
        <v>0</v>
      </c>
      <c r="C7" s="51">
        <f t="shared" si="1"/>
        <v>0</v>
      </c>
      <c r="D7" s="52" t="s">
        <v>16</v>
      </c>
      <c r="E7" s="53">
        <v>0.2</v>
      </c>
      <c r="F7" s="53">
        <v>0.4</v>
      </c>
      <c r="G7" s="54">
        <f t="shared" ref="G7:G20" si="3">SUM(N7:Y7)</f>
        <v>0</v>
      </c>
      <c r="H7" s="54">
        <f t="shared" ref="H7:H23" si="4">G7*6.8*I7</f>
        <v>0</v>
      </c>
      <c r="I7" s="55">
        <v>16.7</v>
      </c>
      <c r="J7" s="56"/>
      <c r="K7" s="57"/>
      <c r="L7" s="57"/>
      <c r="M7" s="58"/>
      <c r="N7" s="59">
        <v>0</v>
      </c>
      <c r="O7" s="59">
        <v>0</v>
      </c>
      <c r="P7" s="59">
        <v>0</v>
      </c>
      <c r="Q7" s="60">
        <f>1-1</f>
        <v>0</v>
      </c>
      <c r="R7" s="60">
        <v>0</v>
      </c>
      <c r="S7" s="60">
        <v>0</v>
      </c>
      <c r="T7" s="60">
        <v>0</v>
      </c>
      <c r="U7" s="60">
        <v>0</v>
      </c>
      <c r="V7" s="60">
        <v>0</v>
      </c>
      <c r="W7" s="60">
        <v>0</v>
      </c>
      <c r="X7" s="60">
        <v>0</v>
      </c>
      <c r="Y7" s="60">
        <v>0</v>
      </c>
      <c r="Z7" s="61">
        <f t="shared" si="2"/>
        <v>0</v>
      </c>
    </row>
    <row r="8" spans="1:26" ht="14.25" customHeight="1" x14ac:dyDescent="0.25">
      <c r="A8" s="107"/>
      <c r="B8" s="50">
        <f t="shared" si="0"/>
        <v>0</v>
      </c>
      <c r="C8" s="51">
        <f t="shared" si="1"/>
        <v>3</v>
      </c>
      <c r="D8" s="52" t="s">
        <v>17</v>
      </c>
      <c r="E8" s="53">
        <v>0</v>
      </c>
      <c r="F8" s="53">
        <v>0</v>
      </c>
      <c r="G8" s="54">
        <f t="shared" si="3"/>
        <v>3</v>
      </c>
      <c r="H8" s="54">
        <f t="shared" si="4"/>
        <v>307.02</v>
      </c>
      <c r="I8" s="55">
        <v>15.05</v>
      </c>
      <c r="J8" s="56"/>
      <c r="K8" s="57"/>
      <c r="L8" s="57"/>
      <c r="M8" s="58"/>
      <c r="N8" s="59">
        <v>0</v>
      </c>
      <c r="O8" s="59">
        <v>0</v>
      </c>
      <c r="P8" s="59">
        <v>0</v>
      </c>
      <c r="Q8" s="59">
        <f>1-1</f>
        <v>0</v>
      </c>
      <c r="R8" s="59">
        <f>1</f>
        <v>1</v>
      </c>
      <c r="S8" s="60">
        <v>0</v>
      </c>
      <c r="T8" s="60">
        <v>1</v>
      </c>
      <c r="U8" s="60">
        <v>0</v>
      </c>
      <c r="V8" s="60">
        <v>0</v>
      </c>
      <c r="W8" s="60">
        <v>0</v>
      </c>
      <c r="X8" s="60">
        <v>1</v>
      </c>
      <c r="Y8" s="60">
        <v>0</v>
      </c>
      <c r="Z8" s="61">
        <f t="shared" si="2"/>
        <v>0</v>
      </c>
    </row>
    <row r="9" spans="1:26" ht="14.25" customHeight="1" x14ac:dyDescent="0.25">
      <c r="A9" s="107"/>
      <c r="B9" s="50">
        <f t="shared" si="0"/>
        <v>0</v>
      </c>
      <c r="C9" s="51">
        <f t="shared" si="1"/>
        <v>11</v>
      </c>
      <c r="D9" s="52" t="s">
        <v>18</v>
      </c>
      <c r="E9" s="53">
        <v>0</v>
      </c>
      <c r="F9" s="53">
        <v>0.8</v>
      </c>
      <c r="G9" s="54">
        <f t="shared" si="3"/>
        <v>11</v>
      </c>
      <c r="H9" s="54">
        <f t="shared" si="4"/>
        <v>1066.6479999999999</v>
      </c>
      <c r="I9" s="55">
        <v>14.26</v>
      </c>
      <c r="J9" s="56"/>
      <c r="K9" s="57"/>
      <c r="L9" s="57"/>
      <c r="M9" s="58"/>
      <c r="N9" s="59">
        <v>0</v>
      </c>
      <c r="O9" s="59">
        <v>0</v>
      </c>
      <c r="P9" s="59">
        <v>0</v>
      </c>
      <c r="Q9" s="60">
        <v>0</v>
      </c>
      <c r="R9" s="59">
        <v>1</v>
      </c>
      <c r="S9" s="60">
        <v>2</v>
      </c>
      <c r="T9" s="60">
        <v>1</v>
      </c>
      <c r="U9" s="60">
        <v>1</v>
      </c>
      <c r="V9" s="60">
        <v>1</v>
      </c>
      <c r="W9" s="60">
        <v>2</v>
      </c>
      <c r="X9" s="60">
        <v>1</v>
      </c>
      <c r="Y9" s="60">
        <v>2</v>
      </c>
      <c r="Z9" s="61">
        <f t="shared" si="2"/>
        <v>2.4</v>
      </c>
    </row>
    <row r="10" spans="1:26" ht="14.25" customHeight="1" x14ac:dyDescent="0.25">
      <c r="A10" s="107"/>
      <c r="B10" s="50">
        <f t="shared" si="0"/>
        <v>1</v>
      </c>
      <c r="C10" s="51">
        <f t="shared" si="1"/>
        <v>6</v>
      </c>
      <c r="D10" s="52" t="s">
        <v>19</v>
      </c>
      <c r="E10" s="53">
        <v>0</v>
      </c>
      <c r="F10" s="53">
        <v>0</v>
      </c>
      <c r="G10" s="54">
        <f t="shared" si="3"/>
        <v>6</v>
      </c>
      <c r="H10" s="54">
        <f t="shared" si="4"/>
        <v>620.16</v>
      </c>
      <c r="I10" s="55">
        <v>15.2</v>
      </c>
      <c r="J10" s="56"/>
      <c r="K10" s="57"/>
      <c r="L10" s="57"/>
      <c r="M10" s="62">
        <v>1</v>
      </c>
      <c r="N10" s="59">
        <v>0</v>
      </c>
      <c r="O10" s="59">
        <v>0</v>
      </c>
      <c r="P10" s="63">
        <v>1</v>
      </c>
      <c r="Q10" s="60">
        <v>0</v>
      </c>
      <c r="R10" s="60">
        <f>1-1</f>
        <v>0</v>
      </c>
      <c r="S10" s="60">
        <v>1</v>
      </c>
      <c r="T10" s="60">
        <f>1-1</f>
        <v>0</v>
      </c>
      <c r="U10" s="60">
        <v>0</v>
      </c>
      <c r="V10" s="60">
        <f>2-1</f>
        <v>1</v>
      </c>
      <c r="W10" s="60">
        <f>1</f>
        <v>1</v>
      </c>
      <c r="X10" s="60">
        <v>1</v>
      </c>
      <c r="Y10" s="60">
        <v>1</v>
      </c>
      <c r="Z10" s="61">
        <f t="shared" si="2"/>
        <v>1.2</v>
      </c>
    </row>
    <row r="11" spans="1:26" ht="14.25" customHeight="1" x14ac:dyDescent="0.25">
      <c r="A11" s="107"/>
      <c r="B11" s="50">
        <f t="shared" si="0"/>
        <v>0</v>
      </c>
      <c r="C11" s="51">
        <f t="shared" si="1"/>
        <v>2</v>
      </c>
      <c r="D11" s="52" t="s">
        <v>20</v>
      </c>
      <c r="E11" s="53">
        <v>0</v>
      </c>
      <c r="F11" s="53">
        <v>0</v>
      </c>
      <c r="G11" s="54">
        <f t="shared" si="3"/>
        <v>2</v>
      </c>
      <c r="H11" s="54">
        <f t="shared" si="4"/>
        <v>197.2</v>
      </c>
      <c r="I11" s="55">
        <v>14.5</v>
      </c>
      <c r="J11" s="56"/>
      <c r="K11" s="57"/>
      <c r="L11" s="57"/>
      <c r="M11" s="58"/>
      <c r="N11" s="59">
        <v>1</v>
      </c>
      <c r="O11" s="59">
        <v>0</v>
      </c>
      <c r="P11" s="59">
        <v>0</v>
      </c>
      <c r="Q11" s="60">
        <v>0</v>
      </c>
      <c r="R11" s="60">
        <v>0</v>
      </c>
      <c r="S11" s="60">
        <v>0</v>
      </c>
      <c r="T11" s="60">
        <v>1</v>
      </c>
      <c r="U11" s="60">
        <v>0</v>
      </c>
      <c r="V11" s="60">
        <v>0</v>
      </c>
      <c r="W11" s="60">
        <v>0</v>
      </c>
      <c r="X11" s="60">
        <v>0</v>
      </c>
      <c r="Y11" s="60">
        <v>0</v>
      </c>
      <c r="Z11" s="61">
        <f t="shared" si="2"/>
        <v>0</v>
      </c>
    </row>
    <row r="12" spans="1:26" ht="14.25" customHeight="1" x14ac:dyDescent="0.25">
      <c r="A12" s="107"/>
      <c r="B12" s="50">
        <f t="shared" si="0"/>
        <v>0</v>
      </c>
      <c r="C12" s="51">
        <f t="shared" si="1"/>
        <v>3</v>
      </c>
      <c r="D12" s="64" t="s">
        <v>21</v>
      </c>
      <c r="E12" s="65">
        <v>0.2</v>
      </c>
      <c r="F12" s="65">
        <v>0.8</v>
      </c>
      <c r="G12" s="54">
        <f t="shared" si="3"/>
        <v>3</v>
      </c>
      <c r="H12" s="54">
        <f t="shared" si="4"/>
        <v>316.2</v>
      </c>
      <c r="I12" s="55">
        <v>15.5</v>
      </c>
      <c r="J12" s="56"/>
      <c r="K12" s="57">
        <v>0</v>
      </c>
      <c r="L12" s="56">
        <v>0</v>
      </c>
      <c r="M12" s="57">
        <v>0</v>
      </c>
      <c r="N12" s="59">
        <v>0</v>
      </c>
      <c r="O12" s="59">
        <v>0</v>
      </c>
      <c r="P12" s="59">
        <v>0</v>
      </c>
      <c r="Q12" s="60">
        <v>0</v>
      </c>
      <c r="R12" s="60">
        <v>0</v>
      </c>
      <c r="S12" s="60">
        <f>1-1</f>
        <v>0</v>
      </c>
      <c r="T12" s="60">
        <f>3-3</f>
        <v>0</v>
      </c>
      <c r="U12" s="60">
        <f>2-2</f>
        <v>0</v>
      </c>
      <c r="V12" s="60">
        <f>3-3</f>
        <v>0</v>
      </c>
      <c r="W12" s="60">
        <f>2-1</f>
        <v>1</v>
      </c>
      <c r="X12" s="60">
        <f>3-2</f>
        <v>1</v>
      </c>
      <c r="Y12" s="60">
        <f>2-1</f>
        <v>1</v>
      </c>
      <c r="Z12" s="66">
        <f t="shared" si="2"/>
        <v>1.2</v>
      </c>
    </row>
    <row r="13" spans="1:26" ht="14.25" customHeight="1" x14ac:dyDescent="0.25">
      <c r="A13" s="107"/>
      <c r="B13" s="50">
        <f>SUM(J13:M13)</f>
        <v>0</v>
      </c>
      <c r="C13" s="51">
        <f t="shared" si="1"/>
        <v>6</v>
      </c>
      <c r="D13" s="64" t="s">
        <v>22</v>
      </c>
      <c r="E13" s="65">
        <v>0</v>
      </c>
      <c r="F13" s="65">
        <v>0</v>
      </c>
      <c r="G13" s="54">
        <f t="shared" si="3"/>
        <v>6</v>
      </c>
      <c r="H13" s="54">
        <f t="shared" si="4"/>
        <v>701.75999999999988</v>
      </c>
      <c r="I13" s="55">
        <v>17.2</v>
      </c>
      <c r="J13" s="56"/>
      <c r="K13" s="57">
        <v>0</v>
      </c>
      <c r="L13" s="57">
        <f>4-4</f>
        <v>0</v>
      </c>
      <c r="M13" s="62">
        <f>3-3</f>
        <v>0</v>
      </c>
      <c r="N13" s="59">
        <f>3-3</f>
        <v>0</v>
      </c>
      <c r="O13" s="59">
        <f>4-4</f>
        <v>0</v>
      </c>
      <c r="P13" s="59">
        <f>4-4+2-2</f>
        <v>0</v>
      </c>
      <c r="Q13" s="60">
        <f>3-3</f>
        <v>0</v>
      </c>
      <c r="R13" s="60">
        <f>3-3</f>
        <v>0</v>
      </c>
      <c r="S13" s="60">
        <f>1-1</f>
        <v>0</v>
      </c>
      <c r="T13" s="60">
        <f>3-3</f>
        <v>0</v>
      </c>
      <c r="U13" s="60">
        <f>3-3</f>
        <v>0</v>
      </c>
      <c r="V13" s="60">
        <f>2-2</f>
        <v>0</v>
      </c>
      <c r="W13" s="60">
        <v>2</v>
      </c>
      <c r="X13" s="60">
        <f>3-1</f>
        <v>2</v>
      </c>
      <c r="Y13" s="60">
        <f>3-1</f>
        <v>2</v>
      </c>
      <c r="Z13" s="66">
        <f t="shared" si="2"/>
        <v>2.4</v>
      </c>
    </row>
    <row r="14" spans="1:26" ht="14.25" customHeight="1" x14ac:dyDescent="0.25">
      <c r="A14" s="107"/>
      <c r="B14" s="50">
        <f t="shared" si="0"/>
        <v>0</v>
      </c>
      <c r="C14" s="51">
        <f t="shared" si="1"/>
        <v>7</v>
      </c>
      <c r="D14" s="64" t="s">
        <v>23</v>
      </c>
      <c r="E14" s="65">
        <v>0</v>
      </c>
      <c r="F14" s="65">
        <v>0</v>
      </c>
      <c r="G14" s="54">
        <f t="shared" si="3"/>
        <v>7</v>
      </c>
      <c r="H14" s="54">
        <f t="shared" si="4"/>
        <v>818.72</v>
      </c>
      <c r="I14" s="55">
        <v>17.2</v>
      </c>
      <c r="J14" s="56"/>
      <c r="K14" s="56"/>
      <c r="L14" s="57">
        <f>2-2</f>
        <v>0</v>
      </c>
      <c r="M14" s="62">
        <f>2-2</f>
        <v>0</v>
      </c>
      <c r="N14" s="59">
        <v>0</v>
      </c>
      <c r="O14" s="59">
        <v>0</v>
      </c>
      <c r="P14" s="67">
        <f>2-2+2</f>
        <v>2</v>
      </c>
      <c r="Q14" s="60">
        <f>2-2+1</f>
        <v>1</v>
      </c>
      <c r="R14" s="60">
        <f>2-2</f>
        <v>0</v>
      </c>
      <c r="S14" s="60">
        <v>0</v>
      </c>
      <c r="T14" s="60">
        <f>2-2</f>
        <v>0</v>
      </c>
      <c r="U14" s="60">
        <v>0</v>
      </c>
      <c r="V14" s="60">
        <v>0</v>
      </c>
      <c r="W14" s="60">
        <v>2</v>
      </c>
      <c r="X14" s="60">
        <v>2</v>
      </c>
      <c r="Y14" s="60">
        <v>0</v>
      </c>
      <c r="Z14" s="61">
        <f t="shared" si="2"/>
        <v>0</v>
      </c>
    </row>
    <row r="15" spans="1:26" ht="14.25" customHeight="1" x14ac:dyDescent="0.25">
      <c r="A15" s="107"/>
      <c r="B15" s="50">
        <f t="shared" si="0"/>
        <v>1</v>
      </c>
      <c r="C15" s="51">
        <f t="shared" si="1"/>
        <v>2</v>
      </c>
      <c r="D15" s="64" t="s">
        <v>24</v>
      </c>
      <c r="E15" s="68"/>
      <c r="F15" s="68"/>
      <c r="G15" s="54">
        <f t="shared" si="3"/>
        <v>2</v>
      </c>
      <c r="H15" s="54">
        <f t="shared" si="4"/>
        <v>0</v>
      </c>
      <c r="I15" s="55"/>
      <c r="J15" s="56">
        <v>0</v>
      </c>
      <c r="K15" s="57"/>
      <c r="L15" s="56">
        <v>1</v>
      </c>
      <c r="M15" s="62">
        <f>1-1</f>
        <v>0</v>
      </c>
      <c r="N15" s="59">
        <f>1-1</f>
        <v>0</v>
      </c>
      <c r="O15" s="63">
        <f>1+1-1</f>
        <v>1</v>
      </c>
      <c r="P15" s="59">
        <f>0+1</f>
        <v>1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  <c r="V15" s="60">
        <v>0</v>
      </c>
      <c r="W15" s="60">
        <v>0</v>
      </c>
      <c r="X15" s="60">
        <v>0</v>
      </c>
      <c r="Y15" s="60">
        <v>0</v>
      </c>
      <c r="Z15" s="61">
        <f t="shared" si="2"/>
        <v>0</v>
      </c>
    </row>
    <row r="16" spans="1:26" ht="14.25" customHeight="1" x14ac:dyDescent="0.25">
      <c r="A16" s="107"/>
      <c r="B16" s="50">
        <f t="shared" si="0"/>
        <v>0</v>
      </c>
      <c r="C16" s="51">
        <f t="shared" si="1"/>
        <v>34</v>
      </c>
      <c r="D16" s="64" t="s">
        <v>25</v>
      </c>
      <c r="E16" s="65">
        <v>0</v>
      </c>
      <c r="F16" s="65">
        <v>0</v>
      </c>
      <c r="G16" s="54">
        <f t="shared" si="3"/>
        <v>34</v>
      </c>
      <c r="H16" s="54">
        <f t="shared" si="4"/>
        <v>3352.3999999999996</v>
      </c>
      <c r="I16" s="55">
        <v>14.5</v>
      </c>
      <c r="J16" s="56"/>
      <c r="K16" s="56"/>
      <c r="L16" s="56"/>
      <c r="M16" s="62">
        <v>0</v>
      </c>
      <c r="N16" s="59"/>
      <c r="O16" s="59">
        <v>0</v>
      </c>
      <c r="P16" s="60">
        <f>4-2-1</f>
        <v>1</v>
      </c>
      <c r="Q16" s="59">
        <f>5-5</f>
        <v>0</v>
      </c>
      <c r="R16" s="60">
        <f>6-3</f>
        <v>3</v>
      </c>
      <c r="S16" s="60">
        <v>7</v>
      </c>
      <c r="T16" s="60">
        <v>6</v>
      </c>
      <c r="U16" s="60">
        <v>0</v>
      </c>
      <c r="V16" s="60">
        <v>5</v>
      </c>
      <c r="W16" s="60">
        <v>5</v>
      </c>
      <c r="X16" s="60">
        <v>4</v>
      </c>
      <c r="Y16" s="60">
        <v>3</v>
      </c>
      <c r="Z16" s="66">
        <f t="shared" si="2"/>
        <v>3.5999999999999996</v>
      </c>
    </row>
    <row r="17" spans="1:26" ht="14.25" customHeight="1" x14ac:dyDescent="0.25">
      <c r="A17" s="107"/>
      <c r="B17" s="50">
        <f t="shared" si="0"/>
        <v>4</v>
      </c>
      <c r="C17" s="51">
        <f t="shared" si="1"/>
        <v>10</v>
      </c>
      <c r="D17" s="64" t="s">
        <v>26</v>
      </c>
      <c r="E17" s="65">
        <v>0</v>
      </c>
      <c r="F17" s="65">
        <v>0</v>
      </c>
      <c r="G17" s="54">
        <f t="shared" si="3"/>
        <v>10</v>
      </c>
      <c r="H17" s="54">
        <f t="shared" si="4"/>
        <v>928.2</v>
      </c>
      <c r="I17" s="55">
        <v>13.65</v>
      </c>
      <c r="J17" s="56">
        <v>1</v>
      </c>
      <c r="K17" s="57">
        <v>1</v>
      </c>
      <c r="L17" s="57">
        <v>2</v>
      </c>
      <c r="M17" s="62">
        <f>1-1</f>
        <v>0</v>
      </c>
      <c r="N17" s="63">
        <f>1+1-1</f>
        <v>1</v>
      </c>
      <c r="O17" s="63">
        <f>1+1+1</f>
        <v>3</v>
      </c>
      <c r="P17" s="63">
        <f>1+1</f>
        <v>2</v>
      </c>
      <c r="Q17" s="63">
        <v>1</v>
      </c>
      <c r="R17" s="63">
        <v>1</v>
      </c>
      <c r="S17" s="63">
        <v>1</v>
      </c>
      <c r="T17" s="60">
        <v>0</v>
      </c>
      <c r="U17" s="63">
        <v>1</v>
      </c>
      <c r="V17" s="60">
        <v>0</v>
      </c>
      <c r="W17" s="60">
        <v>0</v>
      </c>
      <c r="X17" s="60">
        <v>0</v>
      </c>
      <c r="Y17" s="60">
        <v>0</v>
      </c>
      <c r="Z17" s="61">
        <f t="shared" si="2"/>
        <v>0</v>
      </c>
    </row>
    <row r="18" spans="1:26" ht="14.25" customHeight="1" x14ac:dyDescent="0.25">
      <c r="A18" s="107"/>
      <c r="B18" s="50">
        <f t="shared" si="0"/>
        <v>1</v>
      </c>
      <c r="C18" s="51">
        <f t="shared" si="1"/>
        <v>7</v>
      </c>
      <c r="D18" s="64" t="s">
        <v>27</v>
      </c>
      <c r="E18" s="65">
        <v>0</v>
      </c>
      <c r="F18" s="65">
        <v>0</v>
      </c>
      <c r="G18" s="54">
        <f t="shared" si="3"/>
        <v>7</v>
      </c>
      <c r="H18" s="54">
        <f t="shared" si="4"/>
        <v>649.74</v>
      </c>
      <c r="I18" s="55">
        <v>13.65</v>
      </c>
      <c r="J18" s="56"/>
      <c r="K18" s="56"/>
      <c r="L18" s="57">
        <v>1</v>
      </c>
      <c r="M18" s="58"/>
      <c r="N18" s="59">
        <f>1-1</f>
        <v>0</v>
      </c>
      <c r="O18" s="59">
        <f>1+1-1-1</f>
        <v>0</v>
      </c>
      <c r="P18" s="59">
        <f>0+2-2</f>
        <v>0</v>
      </c>
      <c r="Q18" s="60">
        <v>1</v>
      </c>
      <c r="R18" s="60">
        <v>0</v>
      </c>
      <c r="S18" s="60">
        <v>0</v>
      </c>
      <c r="T18" s="60">
        <v>0</v>
      </c>
      <c r="U18" s="60">
        <v>0</v>
      </c>
      <c r="V18" s="60">
        <v>1</v>
      </c>
      <c r="W18" s="60">
        <v>2</v>
      </c>
      <c r="X18" s="60">
        <v>1</v>
      </c>
      <c r="Y18" s="60">
        <v>2</v>
      </c>
      <c r="Z18" s="61">
        <f t="shared" si="2"/>
        <v>2.4</v>
      </c>
    </row>
    <row r="19" spans="1:26" ht="14.25" customHeight="1" x14ac:dyDescent="0.25">
      <c r="A19" s="107"/>
      <c r="B19" s="50">
        <f t="shared" si="0"/>
        <v>0</v>
      </c>
      <c r="C19" s="51">
        <f t="shared" si="1"/>
        <v>16</v>
      </c>
      <c r="D19" s="64" t="s">
        <v>28</v>
      </c>
      <c r="E19" s="65">
        <v>0</v>
      </c>
      <c r="F19" s="65">
        <v>0</v>
      </c>
      <c r="G19" s="54">
        <f t="shared" si="3"/>
        <v>16</v>
      </c>
      <c r="H19" s="54">
        <f t="shared" si="4"/>
        <v>1577.6</v>
      </c>
      <c r="I19" s="55">
        <v>14.5</v>
      </c>
      <c r="J19" s="56"/>
      <c r="K19" s="57">
        <v>0</v>
      </c>
      <c r="L19" s="56">
        <f>4-4</f>
        <v>0</v>
      </c>
      <c r="M19" s="57">
        <f>4-4</f>
        <v>0</v>
      </c>
      <c r="N19" s="59">
        <f>3-1-2</f>
        <v>0</v>
      </c>
      <c r="O19" s="63">
        <v>1</v>
      </c>
      <c r="P19" s="59">
        <f>0+2-2</f>
        <v>0</v>
      </c>
      <c r="Q19" s="60">
        <v>3</v>
      </c>
      <c r="R19" s="60">
        <v>3</v>
      </c>
      <c r="S19" s="60">
        <v>3</v>
      </c>
      <c r="T19" s="60">
        <v>3</v>
      </c>
      <c r="U19" s="60">
        <v>0</v>
      </c>
      <c r="V19" s="60">
        <v>3</v>
      </c>
      <c r="W19" s="60">
        <v>0</v>
      </c>
      <c r="X19" s="60">
        <v>0</v>
      </c>
      <c r="Y19" s="60">
        <v>0</v>
      </c>
      <c r="Z19" s="61">
        <f t="shared" si="2"/>
        <v>0</v>
      </c>
    </row>
    <row r="20" spans="1:26" ht="14.25" customHeight="1" x14ac:dyDescent="0.25">
      <c r="A20" s="107"/>
      <c r="B20" s="50">
        <f t="shared" si="0"/>
        <v>0</v>
      </c>
      <c r="C20" s="51">
        <f t="shared" si="1"/>
        <v>7</v>
      </c>
      <c r="D20" s="64" t="s">
        <v>29</v>
      </c>
      <c r="E20" s="65">
        <v>0</v>
      </c>
      <c r="F20" s="65">
        <v>0</v>
      </c>
      <c r="G20" s="54">
        <f t="shared" si="3"/>
        <v>7</v>
      </c>
      <c r="H20" s="54">
        <f t="shared" si="4"/>
        <v>690.2</v>
      </c>
      <c r="I20" s="55">
        <v>14.5</v>
      </c>
      <c r="J20" s="56"/>
      <c r="K20" s="57"/>
      <c r="L20" s="56"/>
      <c r="M20" s="58"/>
      <c r="N20" s="59">
        <v>0</v>
      </c>
      <c r="O20" s="59">
        <v>0</v>
      </c>
      <c r="P20" s="59">
        <v>0</v>
      </c>
      <c r="Q20" s="60">
        <v>0</v>
      </c>
      <c r="R20" s="60">
        <v>0</v>
      </c>
      <c r="S20" s="60">
        <v>0</v>
      </c>
      <c r="T20" s="60">
        <v>2</v>
      </c>
      <c r="U20" s="60">
        <v>0</v>
      </c>
      <c r="V20" s="60">
        <v>2</v>
      </c>
      <c r="W20" s="60">
        <v>1</v>
      </c>
      <c r="X20" s="60">
        <v>2</v>
      </c>
      <c r="Y20" s="60">
        <v>0</v>
      </c>
      <c r="Z20" s="61">
        <f t="shared" si="2"/>
        <v>0</v>
      </c>
    </row>
    <row r="21" spans="1:26" ht="14.25" customHeight="1" x14ac:dyDescent="0.25">
      <c r="A21" s="107"/>
      <c r="B21" s="50">
        <f>SUM(J21:M21)</f>
        <v>0</v>
      </c>
      <c r="C21" s="51">
        <f>SUM(N21:Y21)</f>
        <v>4</v>
      </c>
      <c r="D21" s="64" t="s">
        <v>30</v>
      </c>
      <c r="E21" s="68"/>
      <c r="F21" s="68"/>
      <c r="G21" s="54">
        <f>SUM(N21:Y21)</f>
        <v>4</v>
      </c>
      <c r="H21" s="54">
        <f>G21*6.8*I21</f>
        <v>394.4</v>
      </c>
      <c r="I21" s="55">
        <v>14.5</v>
      </c>
      <c r="J21" s="56"/>
      <c r="K21" s="57"/>
      <c r="L21" s="56"/>
      <c r="M21" s="57">
        <f>1-1</f>
        <v>0</v>
      </c>
      <c r="N21" s="59">
        <f>1-1</f>
        <v>0</v>
      </c>
      <c r="O21" s="63">
        <v>1</v>
      </c>
      <c r="P21" s="63">
        <f>1+1+1+1-1</f>
        <v>3</v>
      </c>
      <c r="Q21" s="59">
        <f>1-1</f>
        <v>0</v>
      </c>
      <c r="R21" s="60">
        <v>0</v>
      </c>
      <c r="S21" s="60">
        <v>0</v>
      </c>
      <c r="T21" s="60">
        <v>0</v>
      </c>
      <c r="U21" s="60">
        <v>0</v>
      </c>
      <c r="V21" s="60">
        <v>0</v>
      </c>
      <c r="W21" s="60">
        <v>0</v>
      </c>
      <c r="X21" s="60">
        <v>0</v>
      </c>
      <c r="Y21" s="60">
        <v>0</v>
      </c>
      <c r="Z21" s="61">
        <f t="shared" si="2"/>
        <v>0</v>
      </c>
    </row>
    <row r="22" spans="1:26" ht="14.25" customHeight="1" x14ac:dyDescent="0.25">
      <c r="A22" s="107"/>
      <c r="B22" s="50">
        <f>SUM(J22:M22)</f>
        <v>0</v>
      </c>
      <c r="C22" s="51">
        <f>SUM(N22:Y22)</f>
        <v>4</v>
      </c>
      <c r="D22" s="52" t="s">
        <v>31</v>
      </c>
      <c r="E22" s="69"/>
      <c r="F22" s="69"/>
      <c r="G22" s="54">
        <f>SUM(N22:Y22)</f>
        <v>4</v>
      </c>
      <c r="H22" s="54">
        <f>G22*6.8*I22</f>
        <v>0</v>
      </c>
      <c r="I22" s="55"/>
      <c r="J22" s="56"/>
      <c r="K22" s="56"/>
      <c r="L22" s="57">
        <f>1-1</f>
        <v>0</v>
      </c>
      <c r="M22" s="57">
        <f>1-1</f>
        <v>0</v>
      </c>
      <c r="N22" s="59">
        <f>1-1</f>
        <v>0</v>
      </c>
      <c r="O22" s="59">
        <v>0</v>
      </c>
      <c r="P22" s="59">
        <v>1</v>
      </c>
      <c r="Q22" s="60">
        <v>2</v>
      </c>
      <c r="R22" s="60">
        <v>0</v>
      </c>
      <c r="S22" s="60">
        <v>0</v>
      </c>
      <c r="T22" s="60">
        <v>0</v>
      </c>
      <c r="U22" s="60">
        <v>0</v>
      </c>
      <c r="V22" s="60">
        <v>0</v>
      </c>
      <c r="W22" s="60">
        <v>0</v>
      </c>
      <c r="X22" s="60">
        <v>0</v>
      </c>
      <c r="Y22" s="60">
        <v>1</v>
      </c>
      <c r="Z22" s="61">
        <f t="shared" si="2"/>
        <v>1.2</v>
      </c>
    </row>
    <row r="23" spans="1:26" ht="14.25" customHeight="1" x14ac:dyDescent="0.25">
      <c r="A23" s="107"/>
      <c r="B23" s="50">
        <f t="shared" si="0"/>
        <v>0</v>
      </c>
      <c r="C23" s="51">
        <f t="shared" si="1"/>
        <v>0</v>
      </c>
      <c r="D23" s="52" t="s">
        <v>32</v>
      </c>
      <c r="E23" s="69"/>
      <c r="F23" s="69"/>
      <c r="G23" s="69"/>
      <c r="H23" s="54">
        <f t="shared" si="4"/>
        <v>0</v>
      </c>
      <c r="I23" s="55"/>
      <c r="J23" s="56"/>
      <c r="K23" s="56"/>
      <c r="L23" s="56"/>
      <c r="M23" s="58"/>
      <c r="N23" s="59">
        <v>0</v>
      </c>
      <c r="O23" s="59">
        <v>0</v>
      </c>
      <c r="P23" s="59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  <c r="V23" s="60">
        <v>0</v>
      </c>
      <c r="W23" s="60">
        <v>0</v>
      </c>
      <c r="X23" s="60">
        <v>0</v>
      </c>
      <c r="Y23" s="60">
        <v>0</v>
      </c>
      <c r="Z23" s="61">
        <f t="shared" si="2"/>
        <v>0</v>
      </c>
    </row>
    <row r="24" spans="1:26" ht="14.25" customHeight="1" thickBot="1" x14ac:dyDescent="0.3">
      <c r="A24" s="108"/>
      <c r="B24" s="70">
        <f>SUM(I24:M24)</f>
        <v>7</v>
      </c>
      <c r="C24" s="71">
        <f t="shared" si="1"/>
        <v>123</v>
      </c>
      <c r="D24" s="72" t="s">
        <v>33</v>
      </c>
      <c r="E24" s="73"/>
      <c r="F24" s="73"/>
      <c r="G24" s="73"/>
      <c r="H24" s="73"/>
      <c r="I24" s="74"/>
      <c r="J24" s="75">
        <f t="shared" ref="J24:M24" si="5">SUM(J5:J23)</f>
        <v>1</v>
      </c>
      <c r="K24" s="75">
        <f t="shared" si="5"/>
        <v>1</v>
      </c>
      <c r="L24" s="75">
        <f t="shared" si="5"/>
        <v>4</v>
      </c>
      <c r="M24" s="76">
        <f t="shared" si="5"/>
        <v>1</v>
      </c>
      <c r="N24" s="77">
        <f>SUM(N6:N23)</f>
        <v>2</v>
      </c>
      <c r="O24" s="77">
        <f t="shared" ref="O24:Z24" si="6">SUM(O6:O23)</f>
        <v>6</v>
      </c>
      <c r="P24" s="77">
        <f t="shared" si="6"/>
        <v>11</v>
      </c>
      <c r="Q24" s="77">
        <f t="shared" si="6"/>
        <v>8</v>
      </c>
      <c r="R24" s="77">
        <f t="shared" si="6"/>
        <v>9</v>
      </c>
      <c r="S24" s="77">
        <f t="shared" si="6"/>
        <v>14</v>
      </c>
      <c r="T24" s="77">
        <f t="shared" si="6"/>
        <v>14</v>
      </c>
      <c r="U24" s="77">
        <f t="shared" si="6"/>
        <v>2</v>
      </c>
      <c r="V24" s="77">
        <f t="shared" si="6"/>
        <v>14</v>
      </c>
      <c r="W24" s="77">
        <f t="shared" si="6"/>
        <v>16</v>
      </c>
      <c r="X24" s="77">
        <f t="shared" si="6"/>
        <v>15</v>
      </c>
      <c r="Y24" s="77">
        <f t="shared" si="6"/>
        <v>12</v>
      </c>
      <c r="Z24" s="78">
        <f t="shared" si="6"/>
        <v>14.399999999999999</v>
      </c>
    </row>
    <row r="25" spans="1:26" x14ac:dyDescent="0.25">
      <c r="B25" s="79">
        <f>SUM(I25:M25)</f>
        <v>-2</v>
      </c>
      <c r="C25" s="80">
        <f>SUM(N25:Y25)</f>
        <v>0</v>
      </c>
      <c r="D25" s="81" t="s">
        <v>34</v>
      </c>
      <c r="E25" s="82"/>
      <c r="F25" s="82"/>
      <c r="G25" s="82"/>
      <c r="H25" s="82"/>
      <c r="I25" s="83"/>
      <c r="J25" s="84">
        <f t="shared" ref="J25:Y25" si="7">J4-J24</f>
        <v>0</v>
      </c>
      <c r="K25" s="84">
        <f t="shared" si="7"/>
        <v>-1</v>
      </c>
      <c r="L25" s="84">
        <f t="shared" si="7"/>
        <v>-1</v>
      </c>
      <c r="M25" s="85">
        <f t="shared" si="7"/>
        <v>0</v>
      </c>
      <c r="N25" s="86">
        <f t="shared" si="7"/>
        <v>0</v>
      </c>
      <c r="O25" s="87">
        <f t="shared" si="7"/>
        <v>0</v>
      </c>
      <c r="P25" s="87">
        <f t="shared" si="7"/>
        <v>0</v>
      </c>
      <c r="Q25" s="87">
        <f t="shared" si="7"/>
        <v>0</v>
      </c>
      <c r="R25" s="87">
        <f t="shared" si="7"/>
        <v>0</v>
      </c>
      <c r="S25" s="87">
        <f t="shared" si="7"/>
        <v>-1</v>
      </c>
      <c r="T25" s="87">
        <f t="shared" si="7"/>
        <v>1</v>
      </c>
      <c r="U25" s="87">
        <f t="shared" si="7"/>
        <v>0</v>
      </c>
      <c r="V25" s="87">
        <f t="shared" si="7"/>
        <v>1</v>
      </c>
      <c r="W25" s="87">
        <f t="shared" si="7"/>
        <v>0</v>
      </c>
      <c r="X25" s="87">
        <f t="shared" si="7"/>
        <v>0</v>
      </c>
      <c r="Y25" s="88">
        <f t="shared" si="7"/>
        <v>-1</v>
      </c>
      <c r="Z25" s="88">
        <f>Z4-Z24</f>
        <v>-14.399999999999999</v>
      </c>
    </row>
    <row r="26" spans="1:26" ht="15.75" thickBot="1" x14ac:dyDescent="0.3">
      <c r="B26" s="89">
        <f>B25/B4</f>
        <v>-0.4</v>
      </c>
      <c r="C26" s="89">
        <f>C25/C4</f>
        <v>0</v>
      </c>
      <c r="D26" s="90" t="s">
        <v>35</v>
      </c>
      <c r="E26" s="91"/>
      <c r="F26" s="91"/>
      <c r="G26" s="91"/>
      <c r="H26" s="91"/>
      <c r="I26" s="92"/>
      <c r="J26" s="93" t="s">
        <v>36</v>
      </c>
      <c r="K26" s="94" t="s">
        <v>37</v>
      </c>
      <c r="L26" s="94">
        <f t="shared" ref="L26:Y26" si="8">L25/L4</f>
        <v>-0.33333333333333331</v>
      </c>
      <c r="M26" s="95">
        <f t="shared" si="8"/>
        <v>0</v>
      </c>
      <c r="N26" s="96">
        <f t="shared" si="8"/>
        <v>0</v>
      </c>
      <c r="O26" s="97">
        <f t="shared" si="8"/>
        <v>0</v>
      </c>
      <c r="P26" s="97">
        <f t="shared" si="8"/>
        <v>0</v>
      </c>
      <c r="Q26" s="97">
        <f t="shared" si="8"/>
        <v>0</v>
      </c>
      <c r="R26" s="97">
        <f t="shared" si="8"/>
        <v>0</v>
      </c>
      <c r="S26" s="97">
        <f t="shared" si="8"/>
        <v>-7.6923076923076927E-2</v>
      </c>
      <c r="T26" s="97">
        <f t="shared" si="8"/>
        <v>6.6666666666666666E-2</v>
      </c>
      <c r="U26" s="97">
        <f t="shared" si="8"/>
        <v>0</v>
      </c>
      <c r="V26" s="97">
        <f t="shared" si="8"/>
        <v>6.6666666666666666E-2</v>
      </c>
      <c r="W26" s="97">
        <f t="shared" si="8"/>
        <v>0</v>
      </c>
      <c r="X26" s="97">
        <f t="shared" si="8"/>
        <v>0</v>
      </c>
      <c r="Y26" s="98">
        <f t="shared" si="8"/>
        <v>-9.0909090909090912E-2</v>
      </c>
      <c r="Z26" s="98" t="e">
        <f>Z25/Z4</f>
        <v>#DIV/0!</v>
      </c>
    </row>
    <row r="28" spans="1:26" x14ac:dyDescent="0.25">
      <c r="J28" s="99" t="s">
        <v>38</v>
      </c>
      <c r="K28" s="99"/>
      <c r="L28" s="99"/>
      <c r="M28" s="99"/>
      <c r="N28" s="68">
        <f>SUM($N$4:N4)</f>
        <v>2</v>
      </c>
      <c r="O28" s="68">
        <f>SUM($N$4:O4)</f>
        <v>8</v>
      </c>
      <c r="P28" s="68">
        <f>SUM($N$4:P4)</f>
        <v>19</v>
      </c>
      <c r="Q28" s="68">
        <f>SUM($N$4:Q4)</f>
        <v>27</v>
      </c>
      <c r="R28" s="68">
        <f>SUM($N$4:R4)</f>
        <v>36</v>
      </c>
      <c r="S28" s="68">
        <f>SUM($N$4:S4)</f>
        <v>49</v>
      </c>
      <c r="T28" s="68">
        <f>SUM($N$4:T4)</f>
        <v>64</v>
      </c>
      <c r="U28" s="68">
        <f>SUM($N$4:U4)</f>
        <v>66</v>
      </c>
      <c r="V28" s="68">
        <f>SUM($N$4:V4)</f>
        <v>81</v>
      </c>
      <c r="W28" s="68">
        <f>SUM($N$4:W4)</f>
        <v>97</v>
      </c>
      <c r="X28" s="68">
        <f>SUM($N$4:X4)</f>
        <v>112</v>
      </c>
      <c r="Y28" s="68">
        <f>SUM($N$4:Y4)</f>
        <v>123</v>
      </c>
    </row>
    <row r="29" spans="1:26" x14ac:dyDescent="0.25">
      <c r="B29" s="100"/>
      <c r="C29" s="100"/>
      <c r="J29" s="101" t="s">
        <v>39</v>
      </c>
      <c r="K29" s="101"/>
      <c r="L29" s="101"/>
      <c r="M29" s="101"/>
      <c r="N29" s="68">
        <f>SUM($N$24:N24)</f>
        <v>2</v>
      </c>
      <c r="O29" s="68">
        <f>SUM($N$24:O24)</f>
        <v>8</v>
      </c>
      <c r="P29" s="68">
        <f>SUM($N$24:P24)</f>
        <v>19</v>
      </c>
      <c r="Q29" s="68">
        <f>SUM($N$24:Q24)</f>
        <v>27</v>
      </c>
      <c r="R29" s="68">
        <f>SUM($N$24:R24)</f>
        <v>36</v>
      </c>
      <c r="S29" s="68">
        <f>SUM($N$24:S24)</f>
        <v>50</v>
      </c>
      <c r="T29" s="68">
        <f>SUM($N$24:T24)</f>
        <v>64</v>
      </c>
      <c r="U29" s="68">
        <f>SUM($N$24:U24)</f>
        <v>66</v>
      </c>
      <c r="V29" s="68">
        <f>SUM($N$24:V24)</f>
        <v>80</v>
      </c>
      <c r="W29" s="68">
        <f>SUM($N$24:W24)</f>
        <v>96</v>
      </c>
      <c r="X29" s="68">
        <f>SUM($N$24:X24)</f>
        <v>111</v>
      </c>
      <c r="Y29" s="68">
        <f>SUM($N$24:Y24)</f>
        <v>123</v>
      </c>
    </row>
    <row r="30" spans="1:26" x14ac:dyDescent="0.25">
      <c r="J30" s="55" t="s">
        <v>40</v>
      </c>
      <c r="K30" s="55"/>
      <c r="L30" s="55"/>
      <c r="M30" s="55"/>
      <c r="N30" s="68">
        <v>7</v>
      </c>
      <c r="O30" s="68">
        <v>10</v>
      </c>
      <c r="P30" s="68">
        <v>11</v>
      </c>
      <c r="Q30" s="68">
        <v>13</v>
      </c>
      <c r="R30" s="68">
        <v>11</v>
      </c>
      <c r="S30" s="68">
        <v>13</v>
      </c>
      <c r="T30" s="68">
        <v>15</v>
      </c>
      <c r="U30" s="68">
        <v>2</v>
      </c>
      <c r="V30" s="68">
        <v>15</v>
      </c>
      <c r="W30" s="68">
        <v>16</v>
      </c>
      <c r="X30" s="68">
        <v>15</v>
      </c>
      <c r="Y30" s="68">
        <v>11</v>
      </c>
    </row>
    <row r="31" spans="1:26" x14ac:dyDescent="0.25">
      <c r="J31" s="55" t="s">
        <v>41</v>
      </c>
      <c r="K31" s="55"/>
      <c r="L31" s="55"/>
      <c r="M31" s="55"/>
      <c r="N31" s="68">
        <f>N30</f>
        <v>7</v>
      </c>
      <c r="O31" s="68">
        <f>O30+N31</f>
        <v>17</v>
      </c>
      <c r="P31" s="68">
        <f t="shared" ref="P31:Y31" si="9">P30+O31</f>
        <v>28</v>
      </c>
      <c r="Q31" s="68">
        <f t="shared" si="9"/>
        <v>41</v>
      </c>
      <c r="R31" s="68">
        <f t="shared" si="9"/>
        <v>52</v>
      </c>
      <c r="S31" s="68">
        <f t="shared" si="9"/>
        <v>65</v>
      </c>
      <c r="T31" s="68">
        <f t="shared" si="9"/>
        <v>80</v>
      </c>
      <c r="U31" s="68">
        <f t="shared" si="9"/>
        <v>82</v>
      </c>
      <c r="V31" s="68">
        <f t="shared" si="9"/>
        <v>97</v>
      </c>
      <c r="W31" s="68">
        <f t="shared" si="9"/>
        <v>113</v>
      </c>
      <c r="X31" s="68">
        <f t="shared" si="9"/>
        <v>128</v>
      </c>
      <c r="Y31" s="68">
        <f t="shared" si="9"/>
        <v>139</v>
      </c>
    </row>
    <row r="32" spans="1:26" x14ac:dyDescent="0.25">
      <c r="C32" s="102"/>
    </row>
  </sheetData>
  <mergeCells count="4">
    <mergeCell ref="O2:P2"/>
    <mergeCell ref="R2:S2"/>
    <mergeCell ref="E3:F3"/>
    <mergeCell ref="A6:A24"/>
  </mergeCells>
  <conditionalFormatting sqref="J25:Y25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26:Y2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25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Z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2_PIC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Proix</dc:creator>
  <cp:lastModifiedBy>Nicolas Proix</cp:lastModifiedBy>
  <dcterms:created xsi:type="dcterms:W3CDTF">2019-01-21T16:52:33Z</dcterms:created>
  <dcterms:modified xsi:type="dcterms:W3CDTF">2019-01-21T17:01:10Z</dcterms:modified>
</cp:coreProperties>
</file>