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35" windowWidth="14190" windowHeight="7470"/>
  </bookViews>
  <sheets>
    <sheet name="Tonnage contractualisé" sheetId="1" r:id="rId1"/>
    <sheet name="mensualisation" sheetId="4" r:id="rId2"/>
    <sheet name="brouillon (2)" sheetId="3" r:id="rId3"/>
  </sheets>
  <definedNames>
    <definedName name="_xlnm._FilterDatabase" localSheetId="1" hidden="1">mensualisation!$B$4:$W$29</definedName>
  </definedNames>
  <calcPr calcId="145621"/>
</workbook>
</file>

<file path=xl/calcChain.xml><?xml version="1.0" encoding="utf-8"?>
<calcChain xmlns="http://schemas.openxmlformats.org/spreadsheetml/2006/main">
  <c r="J34" i="4" l="1"/>
  <c r="K34" i="4"/>
  <c r="L34" i="4"/>
  <c r="M34" i="4"/>
  <c r="N34" i="4"/>
  <c r="O34" i="4"/>
  <c r="P34" i="4"/>
  <c r="Q34" i="4"/>
  <c r="R34" i="4"/>
  <c r="S34" i="4"/>
  <c r="I34" i="4"/>
  <c r="J33" i="4"/>
  <c r="K33" i="4"/>
  <c r="L33" i="4"/>
  <c r="M33" i="4"/>
  <c r="N33" i="4"/>
  <c r="O33" i="4"/>
  <c r="P33" i="4"/>
  <c r="Q33" i="4"/>
  <c r="R33" i="4"/>
  <c r="S33" i="4"/>
  <c r="I33" i="4"/>
  <c r="T39" i="4"/>
  <c r="T38" i="4"/>
  <c r="K29" i="4"/>
  <c r="L29" i="4"/>
  <c r="M29" i="4" s="1"/>
  <c r="N29" i="4" s="1"/>
  <c r="O29" i="4" s="1"/>
  <c r="P29" i="4" s="1"/>
  <c r="Q29" i="4" s="1"/>
  <c r="R29" i="4" s="1"/>
  <c r="S29" i="4" s="1"/>
  <c r="K30" i="4"/>
  <c r="L30" i="4" s="1"/>
  <c r="M30" i="4" s="1"/>
  <c r="N30" i="4" s="1"/>
  <c r="O30" i="4" s="1"/>
  <c r="P30" i="4" s="1"/>
  <c r="Q30" i="4" s="1"/>
  <c r="R30" i="4" s="1"/>
  <c r="S30" i="4" s="1"/>
  <c r="K31" i="4"/>
  <c r="L31" i="4" s="1"/>
  <c r="M31" i="4" s="1"/>
  <c r="N31" i="4" s="1"/>
  <c r="O31" i="4" s="1"/>
  <c r="P31" i="4" s="1"/>
  <c r="Q31" i="4" s="1"/>
  <c r="R31" i="4" s="1"/>
  <c r="S31" i="4" s="1"/>
  <c r="K32" i="4"/>
  <c r="L32" i="4"/>
  <c r="M32" i="4"/>
  <c r="N32" i="4" s="1"/>
  <c r="O32" i="4" s="1"/>
  <c r="P32" i="4" s="1"/>
  <c r="Q32" i="4" s="1"/>
  <c r="R32" i="4" s="1"/>
  <c r="S32" i="4" s="1"/>
  <c r="J30" i="4"/>
  <c r="J31" i="4"/>
  <c r="J32" i="4"/>
  <c r="J29" i="4"/>
  <c r="I30" i="4"/>
  <c r="I31" i="4"/>
  <c r="I32" i="4"/>
  <c r="I29" i="4"/>
  <c r="J22" i="4"/>
  <c r="K22" i="4"/>
  <c r="L22" i="4"/>
  <c r="M22" i="4"/>
  <c r="N22" i="4"/>
  <c r="O22" i="4"/>
  <c r="P22" i="4"/>
  <c r="Q22" i="4"/>
  <c r="R22" i="4"/>
  <c r="S22" i="4"/>
  <c r="J23" i="4"/>
  <c r="K23" i="4"/>
  <c r="L23" i="4"/>
  <c r="M23" i="4"/>
  <c r="N23" i="4"/>
  <c r="O23" i="4"/>
  <c r="P23" i="4"/>
  <c r="Q23" i="4"/>
  <c r="R23" i="4"/>
  <c r="S23" i="4"/>
  <c r="J24" i="4"/>
  <c r="K24" i="4"/>
  <c r="L24" i="4"/>
  <c r="M24" i="4"/>
  <c r="N24" i="4"/>
  <c r="O24" i="4"/>
  <c r="P24" i="4"/>
  <c r="Q24" i="4"/>
  <c r="R24" i="4"/>
  <c r="S24" i="4"/>
  <c r="J25" i="4"/>
  <c r="K25" i="4"/>
  <c r="L25" i="4"/>
  <c r="M25" i="4"/>
  <c r="N25" i="4"/>
  <c r="O25" i="4"/>
  <c r="P25" i="4"/>
  <c r="Q25" i="4"/>
  <c r="R25" i="4"/>
  <c r="S25" i="4"/>
  <c r="I23" i="4"/>
  <c r="I24" i="4"/>
  <c r="I25" i="4"/>
  <c r="I22" i="4"/>
  <c r="T7" i="4"/>
  <c r="U7" i="4" s="1"/>
  <c r="T8" i="4"/>
  <c r="T9" i="4"/>
  <c r="U9" i="4" s="1"/>
  <c r="T10" i="4"/>
  <c r="T11" i="4"/>
  <c r="T12" i="4"/>
  <c r="U12" i="4" s="1"/>
  <c r="T13" i="4"/>
  <c r="U13" i="4" s="1"/>
  <c r="T14" i="4"/>
  <c r="U14" i="4" s="1"/>
  <c r="T15" i="4"/>
  <c r="U15" i="4" s="1"/>
  <c r="T16" i="4"/>
  <c r="U16" i="4" s="1"/>
  <c r="T17" i="4"/>
  <c r="U17" i="4" s="1"/>
  <c r="T6" i="4"/>
  <c r="U5" i="4" s="1"/>
  <c r="T5" i="4"/>
  <c r="R11" i="4"/>
  <c r="T34" i="4" l="1"/>
  <c r="I36" i="4"/>
  <c r="J36" i="4" s="1"/>
  <c r="K36" i="4" s="1"/>
  <c r="L36" i="4" s="1"/>
  <c r="M36" i="4" s="1"/>
  <c r="N36" i="4" s="1"/>
  <c r="O36" i="4" s="1"/>
  <c r="P36" i="4" s="1"/>
  <c r="Q36" i="4" s="1"/>
  <c r="R36" i="4" s="1"/>
  <c r="S36" i="4" s="1"/>
  <c r="T33" i="4"/>
  <c r="I35" i="4"/>
  <c r="J35" i="4" s="1"/>
  <c r="K35" i="4" s="1"/>
  <c r="L35" i="4" s="1"/>
  <c r="M35" i="4" s="1"/>
  <c r="N35" i="4" s="1"/>
  <c r="O35" i="4" s="1"/>
  <c r="P35" i="4" s="1"/>
  <c r="Q35" i="4" s="1"/>
  <c r="R35" i="4" s="1"/>
  <c r="S35" i="4" s="1"/>
  <c r="S26" i="4"/>
  <c r="S27" i="4" s="1"/>
  <c r="O26" i="4"/>
  <c r="O27" i="4" s="1"/>
  <c r="K26" i="4"/>
  <c r="K27" i="4" s="1"/>
  <c r="I26" i="4"/>
  <c r="I27" i="4" s="1"/>
  <c r="P26" i="4"/>
  <c r="P27" i="4" s="1"/>
  <c r="L26" i="4"/>
  <c r="L27" i="4" s="1"/>
  <c r="N26" i="4"/>
  <c r="N27" i="4" s="1"/>
  <c r="J26" i="4"/>
  <c r="J27" i="4" s="1"/>
  <c r="R26" i="4"/>
  <c r="R27" i="4" s="1"/>
  <c r="Q26" i="4"/>
  <c r="Q27" i="4" s="1"/>
  <c r="M26" i="4"/>
  <c r="M27" i="4" s="1"/>
  <c r="U10" i="4"/>
  <c r="F22" i="4"/>
  <c r="C21" i="4"/>
  <c r="G20" i="4"/>
  <c r="G19" i="4"/>
  <c r="G18" i="4"/>
  <c r="G17" i="4"/>
  <c r="G15" i="4"/>
  <c r="G14" i="4"/>
  <c r="G13" i="4"/>
  <c r="G12" i="4"/>
  <c r="E12" i="4"/>
  <c r="E22" i="4" s="1"/>
  <c r="G10" i="4"/>
  <c r="G9" i="4"/>
  <c r="G7" i="4"/>
  <c r="G5" i="4"/>
  <c r="E23" i="4" l="1"/>
  <c r="F23" i="4"/>
  <c r="E9" i="1"/>
  <c r="M5" i="3"/>
  <c r="N5" i="3"/>
  <c r="M6" i="3"/>
  <c r="M19" i="3" s="1"/>
  <c r="M20" i="3" s="1"/>
  <c r="N6" i="3"/>
  <c r="M7" i="3"/>
  <c r="N7" i="3"/>
  <c r="M8" i="3"/>
  <c r="N8" i="3"/>
  <c r="M9" i="3"/>
  <c r="N9" i="3"/>
  <c r="M10" i="3"/>
  <c r="N10" i="3"/>
  <c r="N19" i="3"/>
  <c r="N20" i="3"/>
  <c r="G19" i="3"/>
  <c r="H19" i="3" s="1"/>
  <c r="C18" i="3"/>
  <c r="J17" i="3"/>
  <c r="I17" i="3"/>
  <c r="J16" i="3"/>
  <c r="I16" i="3"/>
  <c r="J15" i="3"/>
  <c r="I15" i="3"/>
  <c r="J14" i="3"/>
  <c r="I14" i="3"/>
  <c r="J12" i="3"/>
  <c r="I12" i="3"/>
  <c r="J11" i="3"/>
  <c r="I11" i="3"/>
  <c r="J10" i="3"/>
  <c r="I10" i="3"/>
  <c r="J9" i="3"/>
  <c r="I9" i="3"/>
  <c r="E9" i="3"/>
  <c r="J8" i="3"/>
  <c r="I8" i="3"/>
  <c r="J7" i="3"/>
  <c r="I7" i="3"/>
  <c r="J6" i="3"/>
  <c r="I6" i="3"/>
  <c r="J5" i="3"/>
  <c r="I5" i="3"/>
  <c r="J6" i="1"/>
  <c r="J7" i="1"/>
  <c r="J8" i="1"/>
  <c r="J9" i="1"/>
  <c r="J10" i="1"/>
  <c r="J11" i="1"/>
  <c r="J12" i="1"/>
  <c r="J14" i="1"/>
  <c r="J15" i="1"/>
  <c r="J16" i="1"/>
  <c r="J17" i="1"/>
  <c r="J5" i="1"/>
  <c r="I19" i="1"/>
  <c r="H12" i="1"/>
  <c r="H17" i="1"/>
  <c r="H16" i="1"/>
  <c r="H15" i="1"/>
  <c r="H14" i="1"/>
  <c r="H6" i="1"/>
  <c r="H7" i="1"/>
  <c r="H8" i="1"/>
  <c r="H9" i="1"/>
  <c r="H10" i="1"/>
  <c r="H11" i="1"/>
  <c r="H5" i="1"/>
  <c r="C18" i="1"/>
  <c r="I20" i="1" l="1"/>
  <c r="E19" i="3"/>
  <c r="F19" i="3" s="1"/>
  <c r="E19" i="1" l="1"/>
  <c r="E20" i="1" s="1"/>
</calcChain>
</file>

<file path=xl/sharedStrings.xml><?xml version="1.0" encoding="utf-8"?>
<sst xmlns="http://schemas.openxmlformats.org/spreadsheetml/2006/main" count="204" uniqueCount="88">
  <si>
    <t>Taux de sécurisation en % du tonnage</t>
  </si>
  <si>
    <t>PIC pondéré de la vision des qualifications et capacités</t>
  </si>
  <si>
    <t>Tonnage sécurisé (t)</t>
  </si>
  <si>
    <t>CA  sécurisé (k€)</t>
  </si>
  <si>
    <t>5 des 8 lingots</t>
  </si>
  <si>
    <t>5 des 6 lingots</t>
  </si>
  <si>
    <t>2 des 2 lingots</t>
  </si>
  <si>
    <t>6 des 16 lingots</t>
  </si>
  <si>
    <t>41 des 48 lingots</t>
  </si>
  <si>
    <t>7 des 7 lingots</t>
  </si>
  <si>
    <t>Total sécurisé</t>
  </si>
  <si>
    <t>% sécurisé / contrat commercial</t>
  </si>
  <si>
    <t>Budget 2019</t>
  </si>
  <si>
    <t>Tonnage Lingot sur commandes acquises</t>
  </si>
  <si>
    <t>10 tonnes barres et billettes soit 13 tonnes lingots si test qualif client OK.</t>
  </si>
  <si>
    <t>148 tonnes DP en commande, soit besoin lingots de 190 tonnes.</t>
  </si>
  <si>
    <t>33 tonnes DP en commande, soit besoin lingots de 43 tonnes.</t>
  </si>
  <si>
    <t>151 tonnes DP en 2019, soit 196 tonnes de lingots.</t>
  </si>
  <si>
    <t>Contraintes EcoTi</t>
  </si>
  <si>
    <t>Total des contrats commerciaux acquis</t>
  </si>
  <si>
    <t>Qualification Acquise. Disponibilité lingots.</t>
  </si>
  <si>
    <t>Qualification en cours chez Liebherr</t>
  </si>
  <si>
    <t>Client /ligne Budgétaire</t>
  </si>
  <si>
    <t>Qualification en cours =&gt; 07 2019 ? Top production possible en anticipation.</t>
  </si>
  <si>
    <t>Qualification en cours, premiers résultats à partager.</t>
  </si>
  <si>
    <t>Qualification en cours, recul date de démarrage EcoTi.</t>
  </si>
  <si>
    <t>Retard de 3 lingots</t>
  </si>
  <si>
    <t>Commandes reçues pour 9 tonnes de DP, reste besoin d'un lingot</t>
  </si>
  <si>
    <t>Commande reçue 8 tonnes Dp, besoin  12 tonnes de lingots</t>
  </si>
  <si>
    <t>Commande reçue pour 1 brame, besoin un lingot</t>
  </si>
  <si>
    <t>Lingots , IFA</t>
  </si>
  <si>
    <t xml:space="preserve">Commande IFA reçue 78 tonnes, livré 18 tonnes. </t>
  </si>
  <si>
    <t>AMS 4928 billettes, ADAMET</t>
  </si>
  <si>
    <t>Forgital Finalité Safran</t>
  </si>
  <si>
    <t>Lié à la qualification Safran</t>
  </si>
  <si>
    <t xml:space="preserve">Stockistes </t>
  </si>
  <si>
    <t>Tonnage lingots avec contrats commerciaux ou commandes acquis (t)</t>
  </si>
  <si>
    <t>36 tonnes DP /mois visés en DP 2019, soit  47 tonnes de lingots /mois.</t>
  </si>
  <si>
    <t>Qualification Airbus en cours.</t>
  </si>
  <si>
    <t>Commandes passées pour 3 lingots de Kanban AMS4928, ébauches de découplage.</t>
  </si>
  <si>
    <t xml:space="preserve">Prix budget ($/kg) </t>
  </si>
  <si>
    <t>A livrer au plus tôt.</t>
  </si>
  <si>
    <t>A servir avant début mars.</t>
  </si>
  <si>
    <t>Besoin au plus tôt, stock épuisé avant création.</t>
  </si>
  <si>
    <t>A engager en Janvier</t>
  </si>
  <si>
    <t>(2) Lingot EcoTitanium impérativement.</t>
  </si>
  <si>
    <t xml:space="preserve">Doorframe SPIRIT 
(1) </t>
  </si>
  <si>
    <t xml:space="preserve">MCC Trunion BOMBARDIER Global 700
(1) </t>
  </si>
  <si>
    <t xml:space="preserve">BOMBARDIER
(1) </t>
  </si>
  <si>
    <t xml:space="preserve">SAFRAN AeroBooster
(1) </t>
  </si>
  <si>
    <t xml:space="preserve">LIEBHERR
(2) </t>
  </si>
  <si>
    <t xml:space="preserve">Otto Fuchs
(2) </t>
  </si>
  <si>
    <t xml:space="preserve">AMS 4928, UKAD finalité billettes
(2) </t>
  </si>
  <si>
    <t xml:space="preserve">Voestalpine Böhler Bleche
(2) </t>
  </si>
  <si>
    <t xml:space="preserve">Nouveaux développements à finalité Airbus avec Pamiers.
(2) </t>
  </si>
  <si>
    <t>(1) Début de fourniture et ou dépannage possible avec  lingots UKTMP.</t>
  </si>
  <si>
    <t>CA Budget(k$)</t>
  </si>
  <si>
    <t>Part Budget Sécurisée  par contrats ou commandes existantes</t>
  </si>
  <si>
    <t>Part Budget Sécurisée au 7/1/2019 
(t)</t>
  </si>
  <si>
    <t>(3) Potentiel de dépassement du budget.</t>
  </si>
  <si>
    <t>Doorframe SPIRIT 
(1) (3)</t>
  </si>
  <si>
    <t>BOMBARDIER
(1) (3)</t>
  </si>
  <si>
    <t>MCC Trunion BOMBARDIER Global 700
(1) (3)</t>
  </si>
  <si>
    <t>DP = Demi-Produit : billette, bloom ou brame.</t>
  </si>
  <si>
    <t>Commande reçue pour 1 lot de  brames, besoin un lingot</t>
  </si>
  <si>
    <t>33 tonnes DP en commande, soit un besoin lingots de 43 tonnes.</t>
  </si>
  <si>
    <t>148 tonnes DP en commande, soit un besoin lingots de 190 tonnes.</t>
  </si>
  <si>
    <t>Commandes reçues pour 9 tonnes de DP, reste le besoin d'un lingot</t>
  </si>
  <si>
    <t>Janvier</t>
  </si>
  <si>
    <t>Février</t>
  </si>
  <si>
    <t>Mars</t>
  </si>
  <si>
    <t>Avril</t>
  </si>
  <si>
    <t>Mai</t>
  </si>
  <si>
    <t>Juin</t>
  </si>
  <si>
    <t>Septembre</t>
  </si>
  <si>
    <t>Octobre</t>
  </si>
  <si>
    <t>Novembre</t>
  </si>
  <si>
    <t>Décembre</t>
  </si>
  <si>
    <t>Juillet + Août</t>
  </si>
  <si>
    <t>TOTAL</t>
  </si>
  <si>
    <t>Vérification</t>
  </si>
  <si>
    <t>Catégories</t>
  </si>
  <si>
    <t>Carnet soumis à qualification</t>
  </si>
  <si>
    <t>Prévision sur contrat soumis à qualification</t>
  </si>
  <si>
    <t>Carnet</t>
  </si>
  <si>
    <t>Prévision sur contrat existant</t>
  </si>
  <si>
    <t>Budget</t>
  </si>
  <si>
    <t>Capacité réactualisée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</si>
</sst>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-* #,##0\ _€_-;\-* #,##0\ _€_-;_-* &quot;-&quot;??\ _€_-;_-@_-"/>
    <numFmt numFmtId="165" formatCode="0&quot; t&quot;"/>
    <numFmt numFmtId="166" formatCode="0&quot; k$&quot;"/>
    <numFmt numFmtId="167" formatCode="0.00&quot; $/kg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Border="1"/>
    <xf numFmtId="0" fontId="0" fillId="0" borderId="1" xfId="2" applyFont="1" applyBorder="1" applyAlignment="1">
      <alignment horizontal="center" vertical="center" wrapText="1"/>
    </xf>
    <xf numFmtId="0" fontId="0" fillId="0" borderId="1" xfId="2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2" applyFont="1" applyBorder="1"/>
    <xf numFmtId="164" fontId="0" fillId="0" borderId="1" xfId="3" applyNumberFormat="1" applyFont="1" applyFill="1" applyBorder="1" applyAlignment="1">
      <alignment horizontal="center" vertical="center"/>
    </xf>
    <xf numFmtId="164" fontId="0" fillId="0" borderId="1" xfId="0" applyNumberFormat="1" applyBorder="1"/>
    <xf numFmtId="9" fontId="0" fillId="0" borderId="1" xfId="1" applyFont="1" applyBorder="1" applyAlignment="1">
      <alignment horizontal="center"/>
    </xf>
    <xf numFmtId="0" fontId="0" fillId="0" borderId="1" xfId="0" quotePrefix="1" applyBorder="1" applyAlignment="1">
      <alignment horizontal="center"/>
    </xf>
    <xf numFmtId="43" fontId="0" fillId="0" borderId="0" xfId="3" applyFont="1" applyFill="1" applyBorder="1" applyAlignment="1">
      <alignment horizontal="center" vertical="center"/>
    </xf>
    <xf numFmtId="43" fontId="0" fillId="0" borderId="0" xfId="3" applyFont="1" applyFill="1" applyBorder="1"/>
    <xf numFmtId="0" fontId="0" fillId="0" borderId="1" xfId="0" applyFill="1" applyBorder="1" applyAlignment="1">
      <alignment horizontal="center"/>
    </xf>
    <xf numFmtId="0" fontId="1" fillId="0" borderId="0" xfId="2" applyFill="1" applyBorder="1"/>
    <xf numFmtId="9" fontId="0" fillId="0" borderId="1" xfId="1" applyFont="1" applyFill="1" applyBorder="1" applyAlignment="1">
      <alignment horizontal="center"/>
    </xf>
    <xf numFmtId="164" fontId="1" fillId="0" borderId="1" xfId="2" applyNumberFormat="1" applyBorder="1"/>
    <xf numFmtId="0" fontId="0" fillId="0" borderId="1" xfId="2" applyFont="1" applyBorder="1" applyAlignment="1">
      <alignment vertical="center"/>
    </xf>
    <xf numFmtId="0" fontId="0" fillId="0" borderId="1" xfId="2" applyFont="1" applyBorder="1" applyAlignment="1">
      <alignment vertical="center" wrapText="1"/>
    </xf>
    <xf numFmtId="0" fontId="0" fillId="0" borderId="1" xfId="2" applyFont="1" applyBorder="1" applyAlignment="1">
      <alignment wrapText="1"/>
    </xf>
    <xf numFmtId="164" fontId="0" fillId="0" borderId="0" xfId="3" applyNumberFormat="1" applyFont="1" applyFill="1" applyBorder="1"/>
    <xf numFmtId="9" fontId="0" fillId="0" borderId="0" xfId="0" applyNumberFormat="1" applyBorder="1" applyAlignment="1">
      <alignment horizontal="center"/>
    </xf>
    <xf numFmtId="164" fontId="0" fillId="0" borderId="1" xfId="3" applyNumberFormat="1" applyFont="1" applyFill="1" applyBorder="1" applyAlignment="1">
      <alignment horizontal="left" vertical="center" wrapText="1"/>
    </xf>
    <xf numFmtId="164" fontId="0" fillId="0" borderId="0" xfId="3" applyNumberFormat="1" applyFont="1" applyFill="1" applyBorder="1" applyAlignment="1">
      <alignment horizontal="left" vertical="center" wrapText="1"/>
    </xf>
    <xf numFmtId="165" fontId="0" fillId="0" borderId="1" xfId="2" applyNumberFormat="1" applyFont="1" applyBorder="1" applyAlignment="1">
      <alignment vertical="center"/>
    </xf>
    <xf numFmtId="165" fontId="0" fillId="0" borderId="1" xfId="2" applyNumberFormat="1" applyFont="1" applyBorder="1" applyAlignment="1">
      <alignment horizontal="right" vertical="center"/>
    </xf>
    <xf numFmtId="0" fontId="0" fillId="0" borderId="2" xfId="2" applyFont="1" applyBorder="1" applyAlignment="1">
      <alignment vertical="center" wrapText="1"/>
    </xf>
    <xf numFmtId="165" fontId="0" fillId="0" borderId="2" xfId="2" applyNumberFormat="1" applyFont="1" applyBorder="1" applyAlignment="1">
      <alignment vertical="center"/>
    </xf>
    <xf numFmtId="0" fontId="0" fillId="0" borderId="2" xfId="2" applyFont="1" applyBorder="1" applyAlignment="1">
      <alignment wrapText="1"/>
    </xf>
    <xf numFmtId="164" fontId="0" fillId="0" borderId="2" xfId="3" applyNumberFormat="1" applyFont="1" applyFill="1" applyBorder="1" applyAlignment="1">
      <alignment horizontal="center" vertical="center"/>
    </xf>
    <xf numFmtId="164" fontId="0" fillId="0" borderId="2" xfId="3" applyNumberFormat="1" applyFont="1" applyFill="1" applyBorder="1" applyAlignment="1">
      <alignment horizontal="left" vertical="center" wrapText="1"/>
    </xf>
    <xf numFmtId="0" fontId="0" fillId="0" borderId="0" xfId="0" quotePrefix="1"/>
    <xf numFmtId="166" fontId="0" fillId="0" borderId="1" xfId="3" applyNumberFormat="1" applyFont="1" applyFill="1" applyBorder="1"/>
    <xf numFmtId="0" fontId="2" fillId="0" borderId="1" xfId="2" applyFont="1" applyBorder="1"/>
    <xf numFmtId="0" fontId="2" fillId="0" borderId="0" xfId="2" applyFont="1" applyFill="1" applyBorder="1"/>
    <xf numFmtId="167" fontId="0" fillId="0" borderId="1" xfId="3" applyNumberFormat="1" applyFont="1" applyFill="1" applyBorder="1" applyAlignment="1">
      <alignment horizontal="right" vertical="center"/>
    </xf>
    <xf numFmtId="9" fontId="0" fillId="0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0" fillId="0" borderId="1" xfId="0" applyFill="1" applyBorder="1"/>
    <xf numFmtId="165" fontId="0" fillId="0" borderId="2" xfId="2" applyNumberFormat="1" applyFont="1" applyBorder="1" applyAlignment="1">
      <alignment horizontal="right" vertical="center"/>
    </xf>
    <xf numFmtId="165" fontId="0" fillId="0" borderId="3" xfId="2" applyNumberFormat="1" applyFont="1" applyBorder="1" applyAlignment="1">
      <alignment horizontal="right" vertical="center"/>
    </xf>
    <xf numFmtId="166" fontId="0" fillId="0" borderId="2" xfId="3" applyNumberFormat="1" applyFont="1" applyFill="1" applyBorder="1" applyAlignment="1">
      <alignment horizontal="right"/>
    </xf>
    <xf numFmtId="166" fontId="0" fillId="0" borderId="3" xfId="3" applyNumberFormat="1" applyFont="1" applyFill="1" applyBorder="1" applyAlignment="1">
      <alignment horizontal="right"/>
    </xf>
    <xf numFmtId="164" fontId="0" fillId="0" borderId="2" xfId="3" applyNumberFormat="1" applyFont="1" applyFill="1" applyBorder="1" applyAlignment="1">
      <alignment horizontal="center" vertical="center" wrapText="1"/>
    </xf>
    <xf numFmtId="164" fontId="0" fillId="0" borderId="3" xfId="3" applyNumberFormat="1" applyFont="1" applyFill="1" applyBorder="1" applyAlignment="1">
      <alignment horizontal="center" vertical="center" wrapText="1"/>
    </xf>
    <xf numFmtId="9" fontId="0" fillId="0" borderId="2" xfId="1" applyFont="1" applyBorder="1" applyAlignment="1">
      <alignment horizontal="center" vertical="center"/>
    </xf>
    <xf numFmtId="9" fontId="0" fillId="0" borderId="3" xfId="1" applyFont="1" applyBorder="1" applyAlignment="1">
      <alignment horizontal="center" vertical="center"/>
    </xf>
  </cellXfs>
  <cellStyles count="4">
    <cellStyle name="Milliers 23" xfId="3"/>
    <cellStyle name="Normal" xfId="0" builtinId="0"/>
    <cellStyle name="Normal 44" xfId="2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mensualisation!$H$29</c:f>
              <c:strCache>
                <c:ptCount val="1"/>
                <c:pt idx="0">
                  <c:v>Carnet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mensualisation!$I$28:$S$28</c:f>
              <c:strCache>
                <c:ptCount val="11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 + Août</c:v>
                </c:pt>
                <c:pt idx="7">
                  <c:v>Septembre</c:v>
                </c:pt>
                <c:pt idx="8">
                  <c:v>Octobre</c:v>
                </c:pt>
                <c:pt idx="9">
                  <c:v>Novembre</c:v>
                </c:pt>
                <c:pt idx="10">
                  <c:v>Décembre</c:v>
                </c:pt>
              </c:strCache>
            </c:strRef>
          </c:cat>
          <c:val>
            <c:numRef>
              <c:f>mensualisation!$I$29:$S$29</c:f>
              <c:numCache>
                <c:formatCode>General</c:formatCode>
                <c:ptCount val="11"/>
                <c:pt idx="0">
                  <c:v>56.5</c:v>
                </c:pt>
                <c:pt idx="1">
                  <c:v>81.5</c:v>
                </c:pt>
                <c:pt idx="2">
                  <c:v>94.5</c:v>
                </c:pt>
                <c:pt idx="3">
                  <c:v>100.5</c:v>
                </c:pt>
                <c:pt idx="4">
                  <c:v>106.5</c:v>
                </c:pt>
                <c:pt idx="5">
                  <c:v>112.5</c:v>
                </c:pt>
                <c:pt idx="6">
                  <c:v>118.5</c:v>
                </c:pt>
                <c:pt idx="7">
                  <c:v>118.5</c:v>
                </c:pt>
                <c:pt idx="8">
                  <c:v>118.5</c:v>
                </c:pt>
                <c:pt idx="9">
                  <c:v>118.5</c:v>
                </c:pt>
                <c:pt idx="10">
                  <c:v>118.5</c:v>
                </c:pt>
              </c:numCache>
            </c:numRef>
          </c:val>
        </c:ser>
        <c:ser>
          <c:idx val="1"/>
          <c:order val="1"/>
          <c:tx>
            <c:strRef>
              <c:f>mensualisation!$H$30</c:f>
              <c:strCache>
                <c:ptCount val="1"/>
                <c:pt idx="0">
                  <c:v>Prévision sur contrat existant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mensualisation!$I$28:$S$28</c:f>
              <c:strCache>
                <c:ptCount val="11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 + Août</c:v>
                </c:pt>
                <c:pt idx="7">
                  <c:v>Septembre</c:v>
                </c:pt>
                <c:pt idx="8">
                  <c:v>Octobre</c:v>
                </c:pt>
                <c:pt idx="9">
                  <c:v>Novembre</c:v>
                </c:pt>
                <c:pt idx="10">
                  <c:v>Décembre</c:v>
                </c:pt>
              </c:strCache>
            </c:strRef>
          </c:cat>
          <c:val>
            <c:numRef>
              <c:f>mensualisation!$I$30:$S$30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</c:v>
                </c:pt>
                <c:pt idx="4">
                  <c:v>7</c:v>
                </c:pt>
                <c:pt idx="5">
                  <c:v>14</c:v>
                </c:pt>
                <c:pt idx="6">
                  <c:v>14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29</c:v>
                </c:pt>
              </c:numCache>
            </c:numRef>
          </c:val>
        </c:ser>
        <c:ser>
          <c:idx val="2"/>
          <c:order val="2"/>
          <c:tx>
            <c:strRef>
              <c:f>mensualisation!$H$31</c:f>
              <c:strCache>
                <c:ptCount val="1"/>
                <c:pt idx="0">
                  <c:v>Carnet soumis à qualification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mensualisation!$I$28:$S$28</c:f>
              <c:strCache>
                <c:ptCount val="11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 + Août</c:v>
                </c:pt>
                <c:pt idx="7">
                  <c:v>Septembre</c:v>
                </c:pt>
                <c:pt idx="8">
                  <c:v>Octobre</c:v>
                </c:pt>
                <c:pt idx="9">
                  <c:v>Novembre</c:v>
                </c:pt>
                <c:pt idx="10">
                  <c:v>Décembre</c:v>
                </c:pt>
              </c:strCache>
            </c:strRef>
          </c:cat>
          <c:val>
            <c:numRef>
              <c:f>mensualisation!$I$31:$S$31</c:f>
              <c:numCache>
                <c:formatCode>General</c:formatCode>
                <c:ptCount val="11"/>
                <c:pt idx="0">
                  <c:v>32</c:v>
                </c:pt>
                <c:pt idx="1">
                  <c:v>68</c:v>
                </c:pt>
                <c:pt idx="2">
                  <c:v>104</c:v>
                </c:pt>
                <c:pt idx="3">
                  <c:v>104</c:v>
                </c:pt>
                <c:pt idx="4">
                  <c:v>104</c:v>
                </c:pt>
                <c:pt idx="5">
                  <c:v>104</c:v>
                </c:pt>
                <c:pt idx="6">
                  <c:v>104</c:v>
                </c:pt>
                <c:pt idx="7">
                  <c:v>104</c:v>
                </c:pt>
                <c:pt idx="8">
                  <c:v>104</c:v>
                </c:pt>
                <c:pt idx="9">
                  <c:v>104</c:v>
                </c:pt>
                <c:pt idx="10">
                  <c:v>104</c:v>
                </c:pt>
              </c:numCache>
            </c:numRef>
          </c:val>
        </c:ser>
        <c:ser>
          <c:idx val="3"/>
          <c:order val="3"/>
          <c:tx>
            <c:strRef>
              <c:f>mensualisation!$H$32</c:f>
              <c:strCache>
                <c:ptCount val="1"/>
                <c:pt idx="0">
                  <c:v>Prévision sur contrat soumis à qualification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mensualisation!$I$28:$S$28</c:f>
              <c:strCache>
                <c:ptCount val="11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 + Août</c:v>
                </c:pt>
                <c:pt idx="7">
                  <c:v>Septembre</c:v>
                </c:pt>
                <c:pt idx="8">
                  <c:v>Octobre</c:v>
                </c:pt>
                <c:pt idx="9">
                  <c:v>Novembre</c:v>
                </c:pt>
                <c:pt idx="10">
                  <c:v>Décembre</c:v>
                </c:pt>
              </c:strCache>
            </c:strRef>
          </c:cat>
          <c:val>
            <c:numRef>
              <c:f>mensualisation!$I$32:$S$32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94</c:v>
                </c:pt>
                <c:pt idx="4">
                  <c:v>175.5</c:v>
                </c:pt>
                <c:pt idx="5">
                  <c:v>258.5</c:v>
                </c:pt>
                <c:pt idx="6">
                  <c:v>341.5</c:v>
                </c:pt>
                <c:pt idx="7">
                  <c:v>424</c:v>
                </c:pt>
                <c:pt idx="8">
                  <c:v>499.5</c:v>
                </c:pt>
                <c:pt idx="9">
                  <c:v>588</c:v>
                </c:pt>
                <c:pt idx="10">
                  <c:v>671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3073408"/>
        <c:axId val="93074944"/>
      </c:barChart>
      <c:lineChart>
        <c:grouping val="standard"/>
        <c:varyColors val="0"/>
        <c:ser>
          <c:idx val="4"/>
          <c:order val="4"/>
          <c:tx>
            <c:strRef>
              <c:f>mensualisation!$H$35</c:f>
              <c:strCache>
                <c:ptCount val="1"/>
                <c:pt idx="0">
                  <c:v>Budget</c:v>
                </c:pt>
              </c:strCache>
            </c:strRef>
          </c:tx>
          <c:marker>
            <c:symbol val="square"/>
            <c:size val="4"/>
          </c:marker>
          <c:cat>
            <c:strRef>
              <c:f>mensualisation!$I$28:$S$28</c:f>
              <c:strCache>
                <c:ptCount val="11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 + Août</c:v>
                </c:pt>
                <c:pt idx="7">
                  <c:v>Septembre</c:v>
                </c:pt>
                <c:pt idx="8">
                  <c:v>Octobre</c:v>
                </c:pt>
                <c:pt idx="9">
                  <c:v>Novembre</c:v>
                </c:pt>
                <c:pt idx="10">
                  <c:v>Décembre</c:v>
                </c:pt>
              </c:strCache>
            </c:strRef>
          </c:cat>
          <c:val>
            <c:numRef>
              <c:f>mensualisation!$I$35:$S$35</c:f>
              <c:numCache>
                <c:formatCode>General</c:formatCode>
                <c:ptCount val="11"/>
                <c:pt idx="0">
                  <c:v>47.949999999999996</c:v>
                </c:pt>
                <c:pt idx="1">
                  <c:v>116.44999999999999</c:v>
                </c:pt>
                <c:pt idx="2">
                  <c:v>191.79999999999998</c:v>
                </c:pt>
                <c:pt idx="3">
                  <c:v>280.84999999999997</c:v>
                </c:pt>
                <c:pt idx="4">
                  <c:v>356.19999999999993</c:v>
                </c:pt>
                <c:pt idx="5">
                  <c:v>445.24999999999994</c:v>
                </c:pt>
                <c:pt idx="6">
                  <c:v>561.69999999999993</c:v>
                </c:pt>
                <c:pt idx="7">
                  <c:v>664.44999999999993</c:v>
                </c:pt>
                <c:pt idx="8">
                  <c:v>774.05</c:v>
                </c:pt>
                <c:pt idx="9">
                  <c:v>876.8</c:v>
                </c:pt>
                <c:pt idx="10">
                  <c:v>952.15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mensualisation!$H$36</c:f>
              <c:strCache>
                <c:ptCount val="1"/>
                <c:pt idx="0">
                  <c:v>Capacité réactualisée</c:v>
                </c:pt>
              </c:strCache>
            </c:strRef>
          </c:tx>
          <c:marker>
            <c:symbol val="circle"/>
            <c:size val="4"/>
          </c:marker>
          <c:cat>
            <c:strRef>
              <c:f>mensualisation!$I$28:$S$28</c:f>
              <c:strCache>
                <c:ptCount val="11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 + Août</c:v>
                </c:pt>
                <c:pt idx="7">
                  <c:v>Septembre</c:v>
                </c:pt>
                <c:pt idx="8">
                  <c:v>Octobre</c:v>
                </c:pt>
                <c:pt idx="9">
                  <c:v>Novembre</c:v>
                </c:pt>
                <c:pt idx="10">
                  <c:v>Décembre</c:v>
                </c:pt>
              </c:strCache>
            </c:strRef>
          </c:cat>
          <c:val>
            <c:numRef>
              <c:f>mensualisation!$I$36:$S$36</c:f>
              <c:numCache>
                <c:formatCode>General</c:formatCode>
                <c:ptCount val="11"/>
                <c:pt idx="0">
                  <c:v>20.549999999999997</c:v>
                </c:pt>
                <c:pt idx="1">
                  <c:v>61.649999999999991</c:v>
                </c:pt>
                <c:pt idx="2">
                  <c:v>116.44999999999999</c:v>
                </c:pt>
                <c:pt idx="3">
                  <c:v>198.64999999999998</c:v>
                </c:pt>
                <c:pt idx="4">
                  <c:v>274</c:v>
                </c:pt>
                <c:pt idx="5">
                  <c:v>363.05</c:v>
                </c:pt>
                <c:pt idx="6">
                  <c:v>479.5</c:v>
                </c:pt>
                <c:pt idx="7">
                  <c:v>582.25</c:v>
                </c:pt>
                <c:pt idx="8">
                  <c:v>691.85</c:v>
                </c:pt>
                <c:pt idx="9">
                  <c:v>794.6</c:v>
                </c:pt>
                <c:pt idx="10">
                  <c:v>869.95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73408"/>
        <c:axId val="93074944"/>
      </c:lineChart>
      <c:catAx>
        <c:axId val="93073408"/>
        <c:scaling>
          <c:orientation val="minMax"/>
        </c:scaling>
        <c:delete val="0"/>
        <c:axPos val="b"/>
        <c:majorTickMark val="out"/>
        <c:minorTickMark val="none"/>
        <c:tickLblPos val="nextTo"/>
        <c:crossAx val="93074944"/>
        <c:crosses val="autoZero"/>
        <c:auto val="1"/>
        <c:lblAlgn val="ctr"/>
        <c:lblOffset val="100"/>
        <c:noMultiLvlLbl val="0"/>
      </c:catAx>
      <c:valAx>
        <c:axId val="930749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307340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1924050</xdr:colOff>
      <xdr:row>41</xdr:row>
      <xdr:rowOff>14286</xdr:rowOff>
    </xdr:from>
    <xdr:to>
      <xdr:col>16</xdr:col>
      <xdr:colOff>19050</xdr:colOff>
      <xdr:row>65</xdr:row>
      <xdr:rowOff>57149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26"/>
  <sheetViews>
    <sheetView tabSelected="1" topLeftCell="C1" workbookViewId="0">
      <selection activeCell="D14" sqref="D14"/>
    </sheetView>
  </sheetViews>
  <sheetFormatPr baseColWidth="10" defaultRowHeight="15" x14ac:dyDescent="0.25"/>
  <cols>
    <col min="2" max="2" width="34.7109375" bestFit="1" customWidth="1"/>
    <col min="3" max="3" width="11.85546875" customWidth="1"/>
    <col min="4" max="4" width="33.5703125" customWidth="1"/>
    <col min="5" max="5" width="21.5703125" customWidth="1"/>
    <col min="6" max="6" width="28.140625" customWidth="1"/>
    <col min="7" max="7" width="17" customWidth="1"/>
    <col min="8" max="8" width="11.85546875" bestFit="1" customWidth="1"/>
    <col min="9" max="9" width="16.85546875" customWidth="1"/>
    <col min="10" max="10" width="21.28515625" customWidth="1"/>
  </cols>
  <sheetData>
    <row r="3" spans="2:10" x14ac:dyDescent="0.25">
      <c r="B3" s="1"/>
      <c r="C3" s="1"/>
      <c r="D3" s="1"/>
    </row>
    <row r="4" spans="2:10" ht="60" x14ac:dyDescent="0.25">
      <c r="B4" s="16" t="s">
        <v>22</v>
      </c>
      <c r="C4" s="17" t="s">
        <v>12</v>
      </c>
      <c r="D4" s="17" t="s">
        <v>13</v>
      </c>
      <c r="E4" s="2" t="s">
        <v>36</v>
      </c>
      <c r="F4" s="2" t="s">
        <v>18</v>
      </c>
      <c r="G4" s="3" t="s">
        <v>40</v>
      </c>
      <c r="H4" s="4" t="s">
        <v>56</v>
      </c>
      <c r="I4" s="2" t="s">
        <v>58</v>
      </c>
      <c r="J4" s="4" t="s">
        <v>0</v>
      </c>
    </row>
    <row r="5" spans="2:10" ht="45" x14ac:dyDescent="0.25">
      <c r="B5" s="17" t="s">
        <v>60</v>
      </c>
      <c r="C5" s="24">
        <v>53</v>
      </c>
      <c r="D5" s="18" t="s">
        <v>17</v>
      </c>
      <c r="E5" s="24">
        <v>196</v>
      </c>
      <c r="F5" s="21" t="s">
        <v>23</v>
      </c>
      <c r="G5" s="34">
        <v>15.6</v>
      </c>
      <c r="H5" s="31">
        <f t="shared" ref="H5:H12" si="0">C5*G5</f>
        <v>826.8</v>
      </c>
      <c r="I5" s="21">
        <v>53</v>
      </c>
      <c r="J5" s="8">
        <f t="shared" ref="J5:J12" si="1">I5/C5</f>
        <v>1</v>
      </c>
    </row>
    <row r="6" spans="2:10" ht="30" x14ac:dyDescent="0.25">
      <c r="B6" s="17" t="s">
        <v>62</v>
      </c>
      <c r="C6" s="24">
        <v>39</v>
      </c>
      <c r="D6" s="18" t="s">
        <v>65</v>
      </c>
      <c r="E6" s="24">
        <v>43</v>
      </c>
      <c r="F6" s="21" t="s">
        <v>20</v>
      </c>
      <c r="G6" s="34">
        <v>17.2</v>
      </c>
      <c r="H6" s="31">
        <f t="shared" si="0"/>
        <v>670.8</v>
      </c>
      <c r="I6" s="21">
        <v>39</v>
      </c>
      <c r="J6" s="8">
        <f t="shared" si="1"/>
        <v>1</v>
      </c>
    </row>
    <row r="7" spans="2:10" ht="34.5" customHeight="1" x14ac:dyDescent="0.25">
      <c r="B7" s="17" t="s">
        <v>50</v>
      </c>
      <c r="C7" s="24">
        <v>13</v>
      </c>
      <c r="D7" s="18" t="s">
        <v>14</v>
      </c>
      <c r="E7" s="24">
        <v>13</v>
      </c>
      <c r="F7" s="21" t="s">
        <v>21</v>
      </c>
      <c r="G7" s="34">
        <v>15.05</v>
      </c>
      <c r="H7" s="31">
        <f t="shared" si="0"/>
        <v>195.65</v>
      </c>
      <c r="I7" s="21">
        <v>13</v>
      </c>
      <c r="J7" s="8">
        <f t="shared" si="1"/>
        <v>1</v>
      </c>
    </row>
    <row r="8" spans="2:10" ht="33.75" customHeight="1" x14ac:dyDescent="0.25">
      <c r="B8" s="17" t="s">
        <v>61</v>
      </c>
      <c r="C8" s="24">
        <v>109</v>
      </c>
      <c r="D8" s="18" t="s">
        <v>66</v>
      </c>
      <c r="E8" s="24">
        <v>190</v>
      </c>
      <c r="F8" s="21" t="s">
        <v>24</v>
      </c>
      <c r="G8" s="34">
        <v>17.2</v>
      </c>
      <c r="H8" s="31">
        <f t="shared" si="0"/>
        <v>1874.8</v>
      </c>
      <c r="I8" s="21">
        <v>109</v>
      </c>
      <c r="J8" s="8">
        <f t="shared" si="1"/>
        <v>1</v>
      </c>
    </row>
    <row r="9" spans="2:10" ht="36.75" customHeight="1" x14ac:dyDescent="0.25">
      <c r="B9" s="17" t="s">
        <v>49</v>
      </c>
      <c r="C9" s="24">
        <v>329</v>
      </c>
      <c r="D9" s="18" t="s">
        <v>37</v>
      </c>
      <c r="E9" s="24">
        <f>47*8</f>
        <v>376</v>
      </c>
      <c r="F9" s="21" t="s">
        <v>25</v>
      </c>
      <c r="G9" s="34">
        <v>14.5</v>
      </c>
      <c r="H9" s="31">
        <f t="shared" si="0"/>
        <v>4770.5</v>
      </c>
      <c r="I9" s="21">
        <v>329</v>
      </c>
      <c r="J9" s="8">
        <f t="shared" si="1"/>
        <v>1</v>
      </c>
    </row>
    <row r="10" spans="2:10" ht="30" x14ac:dyDescent="0.25">
      <c r="B10" s="16" t="s">
        <v>30</v>
      </c>
      <c r="C10" s="24">
        <v>105</v>
      </c>
      <c r="D10" s="18" t="s">
        <v>31</v>
      </c>
      <c r="E10" s="24">
        <v>60</v>
      </c>
      <c r="F10" s="21" t="s">
        <v>26</v>
      </c>
      <c r="G10" s="34">
        <v>13.65</v>
      </c>
      <c r="H10" s="31">
        <f t="shared" si="0"/>
        <v>1433.25</v>
      </c>
      <c r="I10" s="21">
        <v>60</v>
      </c>
      <c r="J10" s="8">
        <f t="shared" si="1"/>
        <v>0.5714285714285714</v>
      </c>
    </row>
    <row r="11" spans="2:10" ht="33.75" customHeight="1" x14ac:dyDescent="0.25">
      <c r="B11" s="17" t="s">
        <v>51</v>
      </c>
      <c r="C11" s="24">
        <v>39</v>
      </c>
      <c r="D11" s="18" t="s">
        <v>67</v>
      </c>
      <c r="E11" s="24">
        <v>6.5</v>
      </c>
      <c r="F11" s="21" t="s">
        <v>41</v>
      </c>
      <c r="G11" s="34">
        <v>15.2</v>
      </c>
      <c r="H11" s="31">
        <f t="shared" si="0"/>
        <v>592.79999999999995</v>
      </c>
      <c r="I11" s="21">
        <v>7</v>
      </c>
      <c r="J11" s="8">
        <f t="shared" si="1"/>
        <v>0.17948717948717949</v>
      </c>
    </row>
    <row r="12" spans="2:10" ht="32.25" customHeight="1" x14ac:dyDescent="0.25">
      <c r="B12" s="16" t="s">
        <v>32</v>
      </c>
      <c r="C12" s="45">
        <v>158</v>
      </c>
      <c r="D12" s="18" t="s">
        <v>28</v>
      </c>
      <c r="E12" s="24">
        <v>12</v>
      </c>
      <c r="F12" s="21" t="s">
        <v>42</v>
      </c>
      <c r="G12" s="34">
        <v>14.5</v>
      </c>
      <c r="H12" s="47">
        <f t="shared" si="0"/>
        <v>2291</v>
      </c>
      <c r="I12" s="49">
        <v>32</v>
      </c>
      <c r="J12" s="51">
        <f t="shared" si="1"/>
        <v>0.20253164556962025</v>
      </c>
    </row>
    <row r="13" spans="2:10" ht="46.5" customHeight="1" x14ac:dyDescent="0.25">
      <c r="B13" s="17" t="s">
        <v>52</v>
      </c>
      <c r="C13" s="46"/>
      <c r="D13" s="18" t="s">
        <v>39</v>
      </c>
      <c r="E13" s="24">
        <v>19.5</v>
      </c>
      <c r="F13" s="21" t="s">
        <v>43</v>
      </c>
      <c r="G13" s="34">
        <v>14.5</v>
      </c>
      <c r="H13" s="48"/>
      <c r="I13" s="50"/>
      <c r="J13" s="52"/>
    </row>
    <row r="14" spans="2:10" ht="30.75" customHeight="1" x14ac:dyDescent="0.25">
      <c r="B14" s="17" t="s">
        <v>53</v>
      </c>
      <c r="C14" s="23">
        <v>9</v>
      </c>
      <c r="D14" s="18" t="s">
        <v>64</v>
      </c>
      <c r="E14" s="24">
        <v>6.5</v>
      </c>
      <c r="F14" s="21" t="s">
        <v>44</v>
      </c>
      <c r="G14" s="34">
        <v>14.5</v>
      </c>
      <c r="H14" s="31">
        <f>C14*G14</f>
        <v>130.5</v>
      </c>
      <c r="I14" s="21">
        <v>7</v>
      </c>
      <c r="J14" s="8">
        <f>I14/C14</f>
        <v>0.77777777777777779</v>
      </c>
    </row>
    <row r="15" spans="2:10" ht="45.75" customHeight="1" x14ac:dyDescent="0.25">
      <c r="B15" s="17" t="s">
        <v>54</v>
      </c>
      <c r="C15" s="23">
        <v>20</v>
      </c>
      <c r="D15" s="18"/>
      <c r="E15" s="6"/>
      <c r="F15" s="21" t="s">
        <v>38</v>
      </c>
      <c r="G15" s="34">
        <v>16.7</v>
      </c>
      <c r="H15" s="31">
        <f>C15*G15</f>
        <v>334</v>
      </c>
      <c r="I15" s="21"/>
      <c r="J15" s="8">
        <f>I15/C15</f>
        <v>0</v>
      </c>
    </row>
    <row r="16" spans="2:10" ht="30.75" customHeight="1" x14ac:dyDescent="0.25">
      <c r="B16" s="25" t="s">
        <v>33</v>
      </c>
      <c r="C16" s="26">
        <v>39</v>
      </c>
      <c r="D16" s="27"/>
      <c r="E16" s="28"/>
      <c r="F16" s="29" t="s">
        <v>34</v>
      </c>
      <c r="G16" s="34">
        <v>14.26</v>
      </c>
      <c r="H16" s="31">
        <f>C16*G16</f>
        <v>556.14</v>
      </c>
      <c r="I16" s="21"/>
      <c r="J16" s="8">
        <f>I16/C16</f>
        <v>0</v>
      </c>
    </row>
    <row r="17" spans="2:10" ht="30.75" customHeight="1" x14ac:dyDescent="0.25">
      <c r="B17" s="17" t="s">
        <v>35</v>
      </c>
      <c r="C17" s="23">
        <v>39</v>
      </c>
      <c r="D17" s="18"/>
      <c r="E17" s="6"/>
      <c r="F17" s="21" t="s">
        <v>34</v>
      </c>
      <c r="G17" s="34">
        <v>14.5</v>
      </c>
      <c r="H17" s="31">
        <f>C17*G17</f>
        <v>565.5</v>
      </c>
      <c r="I17" s="21"/>
      <c r="J17" s="8">
        <f>I17/C17</f>
        <v>0</v>
      </c>
    </row>
    <row r="18" spans="2:10" ht="30.75" customHeight="1" x14ac:dyDescent="0.25">
      <c r="B18" s="32" t="s">
        <v>12</v>
      </c>
      <c r="C18" s="23">
        <f>SUM(C5:C17)</f>
        <v>952</v>
      </c>
      <c r="D18" s="5"/>
      <c r="E18" s="15"/>
      <c r="F18" s="22"/>
      <c r="G18" s="10"/>
      <c r="H18" s="19"/>
      <c r="I18" s="22"/>
      <c r="J18" s="20"/>
    </row>
    <row r="19" spans="2:10" x14ac:dyDescent="0.25">
      <c r="B19" s="32" t="s">
        <v>19</v>
      </c>
      <c r="C19" s="5"/>
      <c r="D19" s="5"/>
      <c r="E19" s="23">
        <f>SUM(E5:E14)</f>
        <v>922.5</v>
      </c>
      <c r="H19" s="11"/>
      <c r="I19" s="23">
        <f>SUM(I5:I14)</f>
        <v>649</v>
      </c>
    </row>
    <row r="20" spans="2:10" x14ac:dyDescent="0.25">
      <c r="B20" s="33" t="s">
        <v>57</v>
      </c>
      <c r="C20" s="13"/>
      <c r="D20" s="13"/>
      <c r="E20" s="8">
        <f>E19/C18</f>
        <v>0.96901260504201681</v>
      </c>
      <c r="F20" s="13"/>
      <c r="G20" s="13"/>
      <c r="H20" s="11"/>
      <c r="I20" s="35">
        <f>I19/C18</f>
        <v>0.68172268907563027</v>
      </c>
    </row>
    <row r="22" spans="2:10" x14ac:dyDescent="0.25">
      <c r="B22" t="s">
        <v>55</v>
      </c>
    </row>
    <row r="23" spans="2:10" x14ac:dyDescent="0.25">
      <c r="B23" s="30" t="s">
        <v>45</v>
      </c>
    </row>
    <row r="25" spans="2:10" x14ac:dyDescent="0.25">
      <c r="B25" t="s">
        <v>59</v>
      </c>
    </row>
    <row r="26" spans="2:10" x14ac:dyDescent="0.25">
      <c r="B26" t="s">
        <v>63</v>
      </c>
    </row>
  </sheetData>
  <mergeCells count="4">
    <mergeCell ref="C12:C13"/>
    <mergeCell ref="H12:H13"/>
    <mergeCell ref="I12:I13"/>
    <mergeCell ref="J12:J1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W39"/>
  <sheetViews>
    <sheetView topLeftCell="H60" workbookViewId="0">
      <selection activeCell="H69" sqref="H69"/>
    </sheetView>
  </sheetViews>
  <sheetFormatPr baseColWidth="10" defaultRowHeight="15" x14ac:dyDescent="0.25"/>
  <cols>
    <col min="2" max="2" width="34.7109375" bestFit="1" customWidth="1"/>
    <col min="3" max="3" width="11.85546875" customWidth="1"/>
    <col min="4" max="4" width="33.5703125" customWidth="1"/>
    <col min="5" max="5" width="21.5703125" customWidth="1"/>
    <col min="6" max="6" width="16.85546875" customWidth="1"/>
    <col min="7" max="7" width="21.28515625" customWidth="1"/>
    <col min="8" max="8" width="39.5703125" customWidth="1"/>
  </cols>
  <sheetData>
    <row r="3" spans="2:23" x14ac:dyDescent="0.25">
      <c r="B3" s="1"/>
      <c r="C3" s="1"/>
      <c r="D3" s="1"/>
    </row>
    <row r="4" spans="2:23" ht="60" x14ac:dyDescent="0.25">
      <c r="B4" s="16" t="s">
        <v>22</v>
      </c>
      <c r="C4" s="17" t="s">
        <v>12</v>
      </c>
      <c r="D4" s="17" t="s">
        <v>13</v>
      </c>
      <c r="E4" s="2" t="s">
        <v>36</v>
      </c>
      <c r="F4" s="2" t="s">
        <v>58</v>
      </c>
      <c r="G4" s="4" t="s">
        <v>0</v>
      </c>
      <c r="I4" s="41" t="s">
        <v>68</v>
      </c>
      <c r="J4" s="41" t="s">
        <v>69</v>
      </c>
      <c r="K4" s="41" t="s">
        <v>70</v>
      </c>
      <c r="L4" s="41" t="s">
        <v>71</v>
      </c>
      <c r="M4" s="41" t="s">
        <v>72</v>
      </c>
      <c r="N4" s="41" t="s">
        <v>73</v>
      </c>
      <c r="O4" s="41" t="s">
        <v>78</v>
      </c>
      <c r="P4" s="41" t="s">
        <v>74</v>
      </c>
      <c r="Q4" s="41" t="s">
        <v>75</v>
      </c>
      <c r="R4" s="41" t="s">
        <v>76</v>
      </c>
      <c r="S4" s="41" t="s">
        <v>77</v>
      </c>
      <c r="T4" s="39" t="s">
        <v>79</v>
      </c>
      <c r="U4" s="39" t="s">
        <v>80</v>
      </c>
      <c r="V4" s="40" t="s">
        <v>81</v>
      </c>
      <c r="W4" s="43"/>
    </row>
    <row r="5" spans="2:23" ht="30" x14ac:dyDescent="0.25">
      <c r="B5" s="17" t="s">
        <v>60</v>
      </c>
      <c r="C5" s="24">
        <v>53</v>
      </c>
      <c r="D5" s="18" t="s">
        <v>17</v>
      </c>
      <c r="E5" s="24">
        <v>196</v>
      </c>
      <c r="F5" s="21">
        <v>53</v>
      </c>
      <c r="G5" s="8">
        <f t="shared" ref="G5:G15" si="0">F5/C5</f>
        <v>1</v>
      </c>
      <c r="I5" s="36">
        <v>14</v>
      </c>
      <c r="J5" s="36">
        <v>14</v>
      </c>
      <c r="K5" s="36">
        <v>21</v>
      </c>
      <c r="T5" s="36">
        <f>SUM(I5:S5)</f>
        <v>49</v>
      </c>
      <c r="U5" s="42">
        <f>T6-E5</f>
        <v>-49</v>
      </c>
      <c r="V5" t="s">
        <v>82</v>
      </c>
    </row>
    <row r="6" spans="2:23" ht="30" x14ac:dyDescent="0.25">
      <c r="B6" s="17" t="s">
        <v>60</v>
      </c>
      <c r="C6" s="24"/>
      <c r="D6" s="18"/>
      <c r="E6" s="24"/>
      <c r="F6" s="21"/>
      <c r="G6" s="8"/>
      <c r="I6" s="36"/>
      <c r="J6" s="36"/>
      <c r="K6" s="36"/>
      <c r="L6" s="36">
        <v>21</v>
      </c>
      <c r="M6" s="36">
        <v>21</v>
      </c>
      <c r="N6" s="36">
        <v>14</v>
      </c>
      <c r="O6" s="36">
        <v>21</v>
      </c>
      <c r="P6" s="36">
        <v>14</v>
      </c>
      <c r="Q6" s="36">
        <v>21</v>
      </c>
      <c r="R6" s="36">
        <v>21</v>
      </c>
      <c r="S6" s="36">
        <v>14</v>
      </c>
      <c r="T6" s="36">
        <f>SUM(I6:S6)</f>
        <v>147</v>
      </c>
      <c r="U6" s="42"/>
      <c r="V6" t="s">
        <v>83</v>
      </c>
    </row>
    <row r="7" spans="2:23" ht="30" x14ac:dyDescent="0.25">
      <c r="B7" s="17" t="s">
        <v>62</v>
      </c>
      <c r="C7" s="24">
        <v>39</v>
      </c>
      <c r="D7" s="18" t="s">
        <v>65</v>
      </c>
      <c r="E7" s="24">
        <v>43</v>
      </c>
      <c r="F7" s="21">
        <v>39</v>
      </c>
      <c r="G7" s="8">
        <f t="shared" si="0"/>
        <v>1</v>
      </c>
      <c r="I7" s="36"/>
      <c r="J7" s="36">
        <v>7</v>
      </c>
      <c r="K7" s="36">
        <v>7</v>
      </c>
      <c r="T7" s="36">
        <f t="shared" ref="T7:T17" si="1">SUM(I7:S7)</f>
        <v>14</v>
      </c>
      <c r="U7" s="42">
        <f>T7-E7</f>
        <v>-29</v>
      </c>
      <c r="V7" t="s">
        <v>84</v>
      </c>
    </row>
    <row r="8" spans="2:23" ht="30" x14ac:dyDescent="0.25">
      <c r="B8" s="17" t="s">
        <v>62</v>
      </c>
      <c r="C8" s="24"/>
      <c r="D8" s="18"/>
      <c r="E8" s="24"/>
      <c r="F8" s="21"/>
      <c r="G8" s="8"/>
      <c r="I8" s="36"/>
      <c r="J8" s="36"/>
      <c r="K8" s="36"/>
      <c r="L8" s="36">
        <v>7</v>
      </c>
      <c r="M8" s="36"/>
      <c r="N8" s="36">
        <v>7</v>
      </c>
      <c r="O8" s="36"/>
      <c r="P8" s="36">
        <v>7</v>
      </c>
      <c r="Q8" s="36"/>
      <c r="R8" s="38"/>
      <c r="S8" s="38">
        <v>8</v>
      </c>
      <c r="T8" s="36">
        <f t="shared" si="1"/>
        <v>29</v>
      </c>
      <c r="U8" s="42"/>
      <c r="V8" t="s">
        <v>85</v>
      </c>
    </row>
    <row r="9" spans="2:23" ht="34.5" customHeight="1" x14ac:dyDescent="0.25">
      <c r="B9" s="17" t="s">
        <v>50</v>
      </c>
      <c r="C9" s="24">
        <v>13</v>
      </c>
      <c r="D9" s="18" t="s">
        <v>14</v>
      </c>
      <c r="E9" s="24">
        <v>13</v>
      </c>
      <c r="F9" s="21">
        <v>13</v>
      </c>
      <c r="G9" s="8">
        <f t="shared" si="0"/>
        <v>1</v>
      </c>
      <c r="I9" s="36"/>
      <c r="J9" s="36"/>
      <c r="K9" s="36"/>
      <c r="L9" s="36"/>
      <c r="M9" s="36">
        <v>6.5</v>
      </c>
      <c r="N9" s="36"/>
      <c r="O9" s="36"/>
      <c r="P9" s="36">
        <v>6.5</v>
      </c>
      <c r="Q9" s="36"/>
      <c r="R9" s="36"/>
      <c r="S9" s="36"/>
      <c r="T9" s="36">
        <f t="shared" si="1"/>
        <v>13</v>
      </c>
      <c r="U9" s="42">
        <f>T9-E9</f>
        <v>0</v>
      </c>
      <c r="V9" t="s">
        <v>83</v>
      </c>
    </row>
    <row r="10" spans="2:23" ht="33.75" customHeight="1" x14ac:dyDescent="0.25">
      <c r="B10" s="17" t="s">
        <v>61</v>
      </c>
      <c r="C10" s="24">
        <v>109</v>
      </c>
      <c r="D10" s="18" t="s">
        <v>66</v>
      </c>
      <c r="E10" s="24">
        <v>190</v>
      </c>
      <c r="F10" s="21">
        <v>109</v>
      </c>
      <c r="G10" s="8">
        <f t="shared" si="0"/>
        <v>1</v>
      </c>
      <c r="I10" s="36">
        <v>18</v>
      </c>
      <c r="J10" s="36">
        <v>22</v>
      </c>
      <c r="K10" s="36">
        <v>15</v>
      </c>
      <c r="T10" s="36">
        <f t="shared" si="1"/>
        <v>55</v>
      </c>
      <c r="U10" s="42">
        <f>T10-E10</f>
        <v>-135</v>
      </c>
      <c r="V10" t="s">
        <v>82</v>
      </c>
    </row>
    <row r="11" spans="2:23" ht="33.75" customHeight="1" x14ac:dyDescent="0.25">
      <c r="B11" s="17" t="s">
        <v>61</v>
      </c>
      <c r="C11" s="24"/>
      <c r="D11" s="18"/>
      <c r="E11" s="24"/>
      <c r="F11" s="21"/>
      <c r="G11" s="8"/>
      <c r="I11" s="36"/>
      <c r="J11" s="36"/>
      <c r="K11" s="36"/>
      <c r="L11" s="36">
        <v>26</v>
      </c>
      <c r="M11" s="36">
        <v>7</v>
      </c>
      <c r="N11" s="36">
        <v>22</v>
      </c>
      <c r="O11" s="36">
        <v>15</v>
      </c>
      <c r="P11" s="36">
        <v>15</v>
      </c>
      <c r="Q11" s="36">
        <v>7.5</v>
      </c>
      <c r="R11" s="36">
        <f>15+5.5</f>
        <v>20.5</v>
      </c>
      <c r="S11" s="36">
        <v>22</v>
      </c>
      <c r="T11" s="36">
        <f t="shared" si="1"/>
        <v>135</v>
      </c>
      <c r="U11" s="42"/>
      <c r="V11" t="s">
        <v>83</v>
      </c>
    </row>
    <row r="12" spans="2:23" ht="36.75" customHeight="1" x14ac:dyDescent="0.25">
      <c r="B12" s="17" t="s">
        <v>49</v>
      </c>
      <c r="C12" s="24">
        <v>329</v>
      </c>
      <c r="D12" s="18" t="s">
        <v>37</v>
      </c>
      <c r="E12" s="24">
        <f>47*8</f>
        <v>376</v>
      </c>
      <c r="F12" s="21">
        <v>329</v>
      </c>
      <c r="G12" s="8">
        <f t="shared" si="0"/>
        <v>1</v>
      </c>
      <c r="I12" s="36"/>
      <c r="J12" s="36"/>
      <c r="K12" s="36"/>
      <c r="L12" s="36">
        <v>47</v>
      </c>
      <c r="M12" s="36">
        <v>47</v>
      </c>
      <c r="N12" s="36">
        <v>47</v>
      </c>
      <c r="O12" s="36">
        <v>47</v>
      </c>
      <c r="P12" s="36">
        <v>47</v>
      </c>
      <c r="Q12" s="36">
        <v>47</v>
      </c>
      <c r="R12" s="36">
        <v>47</v>
      </c>
      <c r="S12" s="36">
        <v>47</v>
      </c>
      <c r="T12" s="36">
        <f t="shared" si="1"/>
        <v>376</v>
      </c>
      <c r="U12" s="42">
        <f>T12-E12</f>
        <v>0</v>
      </c>
      <c r="V12" t="s">
        <v>83</v>
      </c>
    </row>
    <row r="13" spans="2:23" ht="30" x14ac:dyDescent="0.25">
      <c r="B13" s="16" t="s">
        <v>30</v>
      </c>
      <c r="C13" s="24">
        <v>105</v>
      </c>
      <c r="D13" s="18" t="s">
        <v>31</v>
      </c>
      <c r="E13" s="24">
        <v>60</v>
      </c>
      <c r="F13" s="21">
        <v>60</v>
      </c>
      <c r="G13" s="8">
        <f t="shared" si="0"/>
        <v>0.5714285714285714</v>
      </c>
      <c r="I13" s="36">
        <v>24</v>
      </c>
      <c r="J13" s="36">
        <v>6</v>
      </c>
      <c r="K13" s="36">
        <v>6</v>
      </c>
      <c r="L13" s="36">
        <v>6</v>
      </c>
      <c r="M13" s="36">
        <v>6</v>
      </c>
      <c r="N13" s="36">
        <v>6</v>
      </c>
      <c r="O13" s="36">
        <v>6</v>
      </c>
      <c r="P13" s="36"/>
      <c r="Q13" s="36"/>
      <c r="R13" s="36"/>
      <c r="S13" s="36"/>
      <c r="T13" s="36">
        <f t="shared" si="1"/>
        <v>60</v>
      </c>
      <c r="U13" s="42">
        <f>T13-E13</f>
        <v>0</v>
      </c>
      <c r="V13" t="s">
        <v>84</v>
      </c>
    </row>
    <row r="14" spans="2:23" ht="33.75" customHeight="1" x14ac:dyDescent="0.25">
      <c r="B14" s="17" t="s">
        <v>51</v>
      </c>
      <c r="C14" s="24">
        <v>39</v>
      </c>
      <c r="D14" s="18" t="s">
        <v>67</v>
      </c>
      <c r="E14" s="24">
        <v>6.5</v>
      </c>
      <c r="F14" s="21">
        <v>7</v>
      </c>
      <c r="G14" s="8">
        <f t="shared" si="0"/>
        <v>0.17948717948717949</v>
      </c>
      <c r="I14" s="36">
        <v>6.5</v>
      </c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>
        <f t="shared" si="1"/>
        <v>6.5</v>
      </c>
      <c r="U14" s="42">
        <f t="shared" ref="U14:U17" si="2">T14-E14</f>
        <v>0</v>
      </c>
      <c r="V14" t="s">
        <v>84</v>
      </c>
    </row>
    <row r="15" spans="2:23" ht="32.25" customHeight="1" x14ac:dyDescent="0.25">
      <c r="B15" s="16" t="s">
        <v>32</v>
      </c>
      <c r="C15" s="45">
        <v>158</v>
      </c>
      <c r="D15" s="18" t="s">
        <v>28</v>
      </c>
      <c r="E15" s="24">
        <v>12</v>
      </c>
      <c r="F15" s="49">
        <v>32</v>
      </c>
      <c r="G15" s="51">
        <f t="shared" si="0"/>
        <v>0.20253164556962025</v>
      </c>
      <c r="I15" s="36"/>
      <c r="J15" s="36">
        <v>12</v>
      </c>
      <c r="K15" s="36"/>
      <c r="L15" s="36"/>
      <c r="M15" s="36"/>
      <c r="N15" s="36"/>
      <c r="O15" s="36"/>
      <c r="P15" s="36"/>
      <c r="Q15" s="36"/>
      <c r="R15" s="36"/>
      <c r="S15" s="36"/>
      <c r="T15" s="36">
        <f t="shared" si="1"/>
        <v>12</v>
      </c>
      <c r="U15" s="42">
        <f t="shared" si="2"/>
        <v>0</v>
      </c>
      <c r="V15" t="s">
        <v>84</v>
      </c>
    </row>
    <row r="16" spans="2:23" ht="46.5" customHeight="1" x14ac:dyDescent="0.25">
      <c r="B16" s="17" t="s">
        <v>52</v>
      </c>
      <c r="C16" s="46"/>
      <c r="D16" s="18" t="s">
        <v>39</v>
      </c>
      <c r="E16" s="24">
        <v>19.5</v>
      </c>
      <c r="F16" s="50"/>
      <c r="G16" s="52"/>
      <c r="I16" s="36">
        <v>19.5</v>
      </c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>
        <f t="shared" si="1"/>
        <v>19.5</v>
      </c>
      <c r="U16" s="42">
        <f t="shared" si="2"/>
        <v>0</v>
      </c>
      <c r="V16" t="s">
        <v>84</v>
      </c>
    </row>
    <row r="17" spans="2:22" ht="30.75" customHeight="1" x14ac:dyDescent="0.25">
      <c r="B17" s="17" t="s">
        <v>53</v>
      </c>
      <c r="C17" s="23">
        <v>9</v>
      </c>
      <c r="D17" s="18" t="s">
        <v>64</v>
      </c>
      <c r="E17" s="24">
        <v>6.5</v>
      </c>
      <c r="F17" s="21">
        <v>7</v>
      </c>
      <c r="G17" s="8">
        <f>F17/C17</f>
        <v>0.77777777777777779</v>
      </c>
      <c r="I17" s="36">
        <v>6.5</v>
      </c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>
        <f t="shared" si="1"/>
        <v>6.5</v>
      </c>
      <c r="U17" s="42">
        <f t="shared" si="2"/>
        <v>0</v>
      </c>
      <c r="V17" t="s">
        <v>84</v>
      </c>
    </row>
    <row r="18" spans="2:22" ht="45.75" customHeight="1" x14ac:dyDescent="0.25">
      <c r="B18" s="17" t="s">
        <v>54</v>
      </c>
      <c r="C18" s="23">
        <v>20</v>
      </c>
      <c r="D18" s="18"/>
      <c r="E18" s="6"/>
      <c r="F18" s="21"/>
      <c r="G18" s="8">
        <f>F18/C18</f>
        <v>0</v>
      </c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42"/>
    </row>
    <row r="19" spans="2:22" ht="30.75" customHeight="1" x14ac:dyDescent="0.25">
      <c r="B19" s="25" t="s">
        <v>33</v>
      </c>
      <c r="C19" s="26">
        <v>39</v>
      </c>
      <c r="D19" s="27"/>
      <c r="E19" s="28"/>
      <c r="F19" s="21"/>
      <c r="G19" s="8">
        <f>F19/C19</f>
        <v>0</v>
      </c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42"/>
    </row>
    <row r="20" spans="2:22" ht="30.75" customHeight="1" x14ac:dyDescent="0.25">
      <c r="B20" s="17" t="s">
        <v>35</v>
      </c>
      <c r="C20" s="23">
        <v>39</v>
      </c>
      <c r="D20" s="18"/>
      <c r="E20" s="6"/>
      <c r="F20" s="21"/>
      <c r="G20" s="8">
        <f>F20/C20</f>
        <v>0</v>
      </c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6"/>
      <c r="U20" s="42"/>
    </row>
    <row r="21" spans="2:22" ht="30.75" customHeight="1" x14ac:dyDescent="0.25">
      <c r="B21" s="32" t="s">
        <v>12</v>
      </c>
      <c r="C21" s="23">
        <f>SUM(C5:C20)</f>
        <v>952</v>
      </c>
      <c r="D21" s="5"/>
      <c r="E21" s="15"/>
      <c r="F21" s="22"/>
      <c r="G21" s="20"/>
    </row>
    <row r="22" spans="2:22" x14ac:dyDescent="0.25">
      <c r="B22" s="32" t="s">
        <v>19</v>
      </c>
      <c r="C22" s="5"/>
      <c r="D22" s="5"/>
      <c r="E22" s="23">
        <f>SUM(E5:E17)</f>
        <v>922.5</v>
      </c>
      <c r="F22" s="23">
        <f>SUM(F5:F17)</f>
        <v>649</v>
      </c>
      <c r="H22" t="s">
        <v>84</v>
      </c>
      <c r="I22">
        <f>SUMIF($V$5:$V$20,$H22,I$5:I$20)</f>
        <v>56.5</v>
      </c>
      <c r="J22">
        <f t="shared" ref="J22:S22" si="3">SUMIF($V$5:$V$20,$H22,J$5:J$20)</f>
        <v>25</v>
      </c>
      <c r="K22">
        <f t="shared" si="3"/>
        <v>13</v>
      </c>
      <c r="L22">
        <f t="shared" si="3"/>
        <v>6</v>
      </c>
      <c r="M22">
        <f t="shared" si="3"/>
        <v>6</v>
      </c>
      <c r="N22">
        <f t="shared" si="3"/>
        <v>6</v>
      </c>
      <c r="O22">
        <f t="shared" si="3"/>
        <v>6</v>
      </c>
      <c r="P22">
        <f t="shared" si="3"/>
        <v>0</v>
      </c>
      <c r="Q22">
        <f t="shared" si="3"/>
        <v>0</v>
      </c>
      <c r="R22">
        <f t="shared" si="3"/>
        <v>0</v>
      </c>
      <c r="S22">
        <f t="shared" si="3"/>
        <v>0</v>
      </c>
    </row>
    <row r="23" spans="2:22" x14ac:dyDescent="0.25">
      <c r="B23" s="33" t="s">
        <v>57</v>
      </c>
      <c r="C23" s="13"/>
      <c r="D23" s="13"/>
      <c r="E23" s="8">
        <f>E22/C21</f>
        <v>0.96901260504201681</v>
      </c>
      <c r="F23" s="35">
        <f>F22/C21</f>
        <v>0.68172268907563027</v>
      </c>
      <c r="H23" t="s">
        <v>85</v>
      </c>
      <c r="I23">
        <f t="shared" ref="I23:S25" si="4">SUMIF($V$5:$V$20,$H23,I$5:I$20)</f>
        <v>0</v>
      </c>
      <c r="J23">
        <f t="shared" si="4"/>
        <v>0</v>
      </c>
      <c r="K23">
        <f t="shared" si="4"/>
        <v>0</v>
      </c>
      <c r="L23">
        <f t="shared" si="4"/>
        <v>7</v>
      </c>
      <c r="M23">
        <f t="shared" si="4"/>
        <v>0</v>
      </c>
      <c r="N23">
        <f t="shared" si="4"/>
        <v>7</v>
      </c>
      <c r="O23">
        <f t="shared" si="4"/>
        <v>0</v>
      </c>
      <c r="P23">
        <f t="shared" si="4"/>
        <v>7</v>
      </c>
      <c r="Q23">
        <f t="shared" si="4"/>
        <v>0</v>
      </c>
      <c r="R23">
        <f t="shared" si="4"/>
        <v>0</v>
      </c>
      <c r="S23">
        <f t="shared" si="4"/>
        <v>8</v>
      </c>
    </row>
    <row r="24" spans="2:22" x14ac:dyDescent="0.25">
      <c r="H24" t="s">
        <v>82</v>
      </c>
      <c r="I24">
        <f t="shared" si="4"/>
        <v>32</v>
      </c>
      <c r="J24">
        <f t="shared" si="4"/>
        <v>36</v>
      </c>
      <c r="K24">
        <f t="shared" si="4"/>
        <v>36</v>
      </c>
      <c r="L24">
        <f t="shared" si="4"/>
        <v>0</v>
      </c>
      <c r="M24">
        <f t="shared" si="4"/>
        <v>0</v>
      </c>
      <c r="N24">
        <f t="shared" si="4"/>
        <v>0</v>
      </c>
      <c r="O24">
        <f t="shared" si="4"/>
        <v>0</v>
      </c>
      <c r="P24">
        <f t="shared" si="4"/>
        <v>0</v>
      </c>
      <c r="Q24">
        <f t="shared" si="4"/>
        <v>0</v>
      </c>
      <c r="R24">
        <f t="shared" si="4"/>
        <v>0</v>
      </c>
      <c r="S24">
        <f t="shared" si="4"/>
        <v>0</v>
      </c>
    </row>
    <row r="25" spans="2:22" x14ac:dyDescent="0.25">
      <c r="B25" t="s">
        <v>55</v>
      </c>
      <c r="H25" t="s">
        <v>83</v>
      </c>
      <c r="I25">
        <f t="shared" si="4"/>
        <v>0</v>
      </c>
      <c r="J25">
        <f t="shared" si="4"/>
        <v>0</v>
      </c>
      <c r="K25">
        <f t="shared" si="4"/>
        <v>0</v>
      </c>
      <c r="L25">
        <f t="shared" si="4"/>
        <v>94</v>
      </c>
      <c r="M25">
        <f t="shared" si="4"/>
        <v>81.5</v>
      </c>
      <c r="N25">
        <f t="shared" si="4"/>
        <v>83</v>
      </c>
      <c r="O25">
        <f t="shared" si="4"/>
        <v>83</v>
      </c>
      <c r="P25">
        <f t="shared" si="4"/>
        <v>82.5</v>
      </c>
      <c r="Q25">
        <f t="shared" si="4"/>
        <v>75.5</v>
      </c>
      <c r="R25">
        <f t="shared" si="4"/>
        <v>88.5</v>
      </c>
      <c r="S25">
        <f t="shared" si="4"/>
        <v>83</v>
      </c>
    </row>
    <row r="26" spans="2:22" x14ac:dyDescent="0.25">
      <c r="B26" s="30" t="s">
        <v>45</v>
      </c>
      <c r="I26">
        <f>SUM(I22:I25)</f>
        <v>88.5</v>
      </c>
      <c r="J26">
        <f t="shared" ref="J26:S26" si="5">SUM(J22:J25)</f>
        <v>61</v>
      </c>
      <c r="K26">
        <f t="shared" si="5"/>
        <v>49</v>
      </c>
      <c r="L26">
        <f t="shared" si="5"/>
        <v>107</v>
      </c>
      <c r="M26">
        <f t="shared" si="5"/>
        <v>87.5</v>
      </c>
      <c r="N26">
        <f t="shared" si="5"/>
        <v>96</v>
      </c>
      <c r="O26">
        <f t="shared" si="5"/>
        <v>89</v>
      </c>
      <c r="P26">
        <f t="shared" si="5"/>
        <v>89.5</v>
      </c>
      <c r="Q26">
        <f t="shared" si="5"/>
        <v>75.5</v>
      </c>
      <c r="R26">
        <f t="shared" si="5"/>
        <v>88.5</v>
      </c>
      <c r="S26">
        <f t="shared" si="5"/>
        <v>91</v>
      </c>
    </row>
    <row r="27" spans="2:22" x14ac:dyDescent="0.25">
      <c r="I27">
        <f>I26-SUM(I5:I20)</f>
        <v>0</v>
      </c>
      <c r="J27">
        <f t="shared" ref="J27:S27" si="6">J26-SUM(J5:J20)</f>
        <v>0</v>
      </c>
      <c r="K27">
        <f t="shared" si="6"/>
        <v>0</v>
      </c>
      <c r="L27">
        <f t="shared" si="6"/>
        <v>0</v>
      </c>
      <c r="M27">
        <f t="shared" si="6"/>
        <v>0</v>
      </c>
      <c r="N27">
        <f t="shared" si="6"/>
        <v>0</v>
      </c>
      <c r="O27">
        <f t="shared" si="6"/>
        <v>0</v>
      </c>
      <c r="P27">
        <f t="shared" si="6"/>
        <v>0</v>
      </c>
      <c r="Q27">
        <f t="shared" si="6"/>
        <v>0</v>
      </c>
      <c r="R27">
        <f t="shared" si="6"/>
        <v>0</v>
      </c>
      <c r="S27">
        <f t="shared" si="6"/>
        <v>0</v>
      </c>
    </row>
    <row r="28" spans="2:22" ht="30" x14ac:dyDescent="0.25">
      <c r="B28" t="s">
        <v>59</v>
      </c>
      <c r="I28" s="41" t="s">
        <v>68</v>
      </c>
      <c r="J28" s="41" t="s">
        <v>69</v>
      </c>
      <c r="K28" s="41" t="s">
        <v>70</v>
      </c>
      <c r="L28" s="41" t="s">
        <v>71</v>
      </c>
      <c r="M28" s="41" t="s">
        <v>72</v>
      </c>
      <c r="N28" s="41" t="s">
        <v>73</v>
      </c>
      <c r="O28" s="41" t="s">
        <v>78</v>
      </c>
      <c r="P28" s="41" t="s">
        <v>74</v>
      </c>
      <c r="Q28" s="41" t="s">
        <v>75</v>
      </c>
      <c r="R28" s="41" t="s">
        <v>76</v>
      </c>
      <c r="S28" s="41" t="s">
        <v>77</v>
      </c>
    </row>
    <row r="29" spans="2:22" x14ac:dyDescent="0.25">
      <c r="B29" t="s">
        <v>63</v>
      </c>
      <c r="H29" s="37" t="s">
        <v>84</v>
      </c>
      <c r="I29" s="37">
        <f>I22</f>
        <v>56.5</v>
      </c>
      <c r="J29" s="37">
        <f>I29+J22</f>
        <v>81.5</v>
      </c>
      <c r="K29" s="37">
        <f t="shared" ref="K29:S29" si="7">J29+K22</f>
        <v>94.5</v>
      </c>
      <c r="L29" s="37">
        <f t="shared" si="7"/>
        <v>100.5</v>
      </c>
      <c r="M29" s="37">
        <f t="shared" si="7"/>
        <v>106.5</v>
      </c>
      <c r="N29" s="37">
        <f t="shared" si="7"/>
        <v>112.5</v>
      </c>
      <c r="O29" s="37">
        <f t="shared" si="7"/>
        <v>118.5</v>
      </c>
      <c r="P29" s="37">
        <f t="shared" si="7"/>
        <v>118.5</v>
      </c>
      <c r="Q29" s="37">
        <f t="shared" si="7"/>
        <v>118.5</v>
      </c>
      <c r="R29" s="37">
        <f t="shared" si="7"/>
        <v>118.5</v>
      </c>
      <c r="S29" s="37">
        <f t="shared" si="7"/>
        <v>118.5</v>
      </c>
    </row>
    <row r="30" spans="2:22" x14ac:dyDescent="0.25">
      <c r="H30" s="37" t="s">
        <v>85</v>
      </c>
      <c r="I30" s="37">
        <f t="shared" ref="I30:I32" si="8">I23</f>
        <v>0</v>
      </c>
      <c r="J30" s="37">
        <f t="shared" ref="J30:S32" si="9">I30+J23</f>
        <v>0</v>
      </c>
      <c r="K30" s="37">
        <f t="shared" si="9"/>
        <v>0</v>
      </c>
      <c r="L30" s="37">
        <f t="shared" si="9"/>
        <v>7</v>
      </c>
      <c r="M30" s="37">
        <f t="shared" si="9"/>
        <v>7</v>
      </c>
      <c r="N30" s="37">
        <f t="shared" si="9"/>
        <v>14</v>
      </c>
      <c r="O30" s="37">
        <f t="shared" si="9"/>
        <v>14</v>
      </c>
      <c r="P30" s="37">
        <f t="shared" si="9"/>
        <v>21</v>
      </c>
      <c r="Q30" s="37">
        <f t="shared" si="9"/>
        <v>21</v>
      </c>
      <c r="R30" s="37">
        <f t="shared" si="9"/>
        <v>21</v>
      </c>
      <c r="S30" s="37">
        <f t="shared" si="9"/>
        <v>29</v>
      </c>
    </row>
    <row r="31" spans="2:22" x14ac:dyDescent="0.25">
      <c r="H31" s="37" t="s">
        <v>82</v>
      </c>
      <c r="I31" s="37">
        <f t="shared" si="8"/>
        <v>32</v>
      </c>
      <c r="J31" s="37">
        <f t="shared" si="9"/>
        <v>68</v>
      </c>
      <c r="K31" s="37">
        <f t="shared" si="9"/>
        <v>104</v>
      </c>
      <c r="L31" s="37">
        <f t="shared" si="9"/>
        <v>104</v>
      </c>
      <c r="M31" s="37">
        <f t="shared" si="9"/>
        <v>104</v>
      </c>
      <c r="N31" s="37">
        <f t="shared" si="9"/>
        <v>104</v>
      </c>
      <c r="O31" s="37">
        <f t="shared" si="9"/>
        <v>104</v>
      </c>
      <c r="P31" s="37">
        <f t="shared" si="9"/>
        <v>104</v>
      </c>
      <c r="Q31" s="37">
        <f t="shared" si="9"/>
        <v>104</v>
      </c>
      <c r="R31" s="37">
        <f t="shared" si="9"/>
        <v>104</v>
      </c>
      <c r="S31" s="37">
        <f t="shared" si="9"/>
        <v>104</v>
      </c>
    </row>
    <row r="32" spans="2:22" x14ac:dyDescent="0.25">
      <c r="H32" s="37" t="s">
        <v>83</v>
      </c>
      <c r="I32" s="37">
        <f t="shared" si="8"/>
        <v>0</v>
      </c>
      <c r="J32" s="37">
        <f t="shared" si="9"/>
        <v>0</v>
      </c>
      <c r="K32" s="37">
        <f t="shared" si="9"/>
        <v>0</v>
      </c>
      <c r="L32" s="37">
        <f t="shared" si="9"/>
        <v>94</v>
      </c>
      <c r="M32" s="37">
        <f t="shared" si="9"/>
        <v>175.5</v>
      </c>
      <c r="N32" s="37">
        <f t="shared" si="9"/>
        <v>258.5</v>
      </c>
      <c r="O32" s="37">
        <f t="shared" si="9"/>
        <v>341.5</v>
      </c>
      <c r="P32" s="37">
        <f t="shared" si="9"/>
        <v>424</v>
      </c>
      <c r="Q32" s="37">
        <f t="shared" si="9"/>
        <v>499.5</v>
      </c>
      <c r="R32" s="37">
        <f t="shared" si="9"/>
        <v>588</v>
      </c>
      <c r="S32" s="37">
        <f t="shared" si="9"/>
        <v>671</v>
      </c>
    </row>
    <row r="33" spans="8:20" x14ac:dyDescent="0.25">
      <c r="H33" s="37" t="s">
        <v>86</v>
      </c>
      <c r="I33" s="37">
        <f t="shared" ref="I33:S33" si="10">I38*6.85</f>
        <v>47.949999999999996</v>
      </c>
      <c r="J33" s="37">
        <f t="shared" si="10"/>
        <v>68.5</v>
      </c>
      <c r="K33" s="37">
        <f t="shared" si="10"/>
        <v>75.349999999999994</v>
      </c>
      <c r="L33" s="37">
        <f t="shared" si="10"/>
        <v>89.05</v>
      </c>
      <c r="M33" s="37">
        <f t="shared" si="10"/>
        <v>75.349999999999994</v>
      </c>
      <c r="N33" s="37">
        <f t="shared" si="10"/>
        <v>89.05</v>
      </c>
      <c r="O33" s="37">
        <f t="shared" si="10"/>
        <v>116.44999999999999</v>
      </c>
      <c r="P33" s="37">
        <f t="shared" si="10"/>
        <v>102.75</v>
      </c>
      <c r="Q33" s="37">
        <f t="shared" si="10"/>
        <v>109.6</v>
      </c>
      <c r="R33" s="37">
        <f t="shared" si="10"/>
        <v>102.75</v>
      </c>
      <c r="S33" s="37">
        <f t="shared" si="10"/>
        <v>75.349999999999994</v>
      </c>
      <c r="T33">
        <f>SUM(I33:S33)</f>
        <v>952.15</v>
      </c>
    </row>
    <row r="34" spans="8:20" x14ac:dyDescent="0.25">
      <c r="H34" s="37" t="s">
        <v>87</v>
      </c>
      <c r="I34" s="37">
        <f t="shared" ref="I34:S34" si="11">I39*6.85</f>
        <v>20.549999999999997</v>
      </c>
      <c r="J34" s="37">
        <f t="shared" si="11"/>
        <v>41.099999999999994</v>
      </c>
      <c r="K34" s="37">
        <f t="shared" si="11"/>
        <v>54.8</v>
      </c>
      <c r="L34" s="37">
        <f t="shared" si="11"/>
        <v>82.199999999999989</v>
      </c>
      <c r="M34" s="37">
        <f t="shared" si="11"/>
        <v>75.349999999999994</v>
      </c>
      <c r="N34" s="37">
        <f t="shared" si="11"/>
        <v>89.05</v>
      </c>
      <c r="O34" s="37">
        <f t="shared" si="11"/>
        <v>116.44999999999999</v>
      </c>
      <c r="P34" s="37">
        <f t="shared" si="11"/>
        <v>102.75</v>
      </c>
      <c r="Q34" s="37">
        <f t="shared" si="11"/>
        <v>109.6</v>
      </c>
      <c r="R34" s="37">
        <f t="shared" si="11"/>
        <v>102.75</v>
      </c>
      <c r="S34" s="37">
        <f t="shared" si="11"/>
        <v>75.349999999999994</v>
      </c>
      <c r="T34">
        <f>SUM(I34:S34)</f>
        <v>869.95</v>
      </c>
    </row>
    <row r="35" spans="8:20" x14ac:dyDescent="0.25">
      <c r="H35" s="44" t="s">
        <v>86</v>
      </c>
      <c r="I35" s="37">
        <f>I33</f>
        <v>47.949999999999996</v>
      </c>
      <c r="J35" s="37">
        <f>I35+J33</f>
        <v>116.44999999999999</v>
      </c>
      <c r="K35" s="37">
        <f t="shared" ref="K35:S35" si="12">J35+K33</f>
        <v>191.79999999999998</v>
      </c>
      <c r="L35" s="37">
        <f t="shared" si="12"/>
        <v>280.84999999999997</v>
      </c>
      <c r="M35" s="37">
        <f t="shared" si="12"/>
        <v>356.19999999999993</v>
      </c>
      <c r="N35" s="37">
        <f t="shared" si="12"/>
        <v>445.24999999999994</v>
      </c>
      <c r="O35" s="37">
        <f t="shared" si="12"/>
        <v>561.69999999999993</v>
      </c>
      <c r="P35" s="37">
        <f t="shared" si="12"/>
        <v>664.44999999999993</v>
      </c>
      <c r="Q35" s="37">
        <f t="shared" si="12"/>
        <v>774.05</v>
      </c>
      <c r="R35" s="37">
        <f t="shared" si="12"/>
        <v>876.8</v>
      </c>
      <c r="S35" s="37">
        <f t="shared" si="12"/>
        <v>952.15</v>
      </c>
    </row>
    <row r="36" spans="8:20" x14ac:dyDescent="0.25">
      <c r="H36" s="44" t="s">
        <v>87</v>
      </c>
      <c r="I36" s="37">
        <f>I34</f>
        <v>20.549999999999997</v>
      </c>
      <c r="J36" s="37">
        <f>I36+J34</f>
        <v>61.649999999999991</v>
      </c>
      <c r="K36" s="37">
        <f t="shared" ref="K36:S36" si="13">J36+K34</f>
        <v>116.44999999999999</v>
      </c>
      <c r="L36" s="37">
        <f t="shared" si="13"/>
        <v>198.64999999999998</v>
      </c>
      <c r="M36" s="37">
        <f t="shared" si="13"/>
        <v>274</v>
      </c>
      <c r="N36" s="37">
        <f t="shared" si="13"/>
        <v>363.05</v>
      </c>
      <c r="O36" s="37">
        <f t="shared" si="13"/>
        <v>479.5</v>
      </c>
      <c r="P36" s="37">
        <f t="shared" si="13"/>
        <v>582.25</v>
      </c>
      <c r="Q36" s="37">
        <f t="shared" si="13"/>
        <v>691.85</v>
      </c>
      <c r="R36" s="37">
        <f t="shared" si="13"/>
        <v>794.6</v>
      </c>
      <c r="S36" s="37">
        <f t="shared" si="13"/>
        <v>869.95</v>
      </c>
    </row>
    <row r="38" spans="8:20" x14ac:dyDescent="0.25">
      <c r="H38" t="s">
        <v>86</v>
      </c>
      <c r="I38">
        <v>7</v>
      </c>
      <c r="J38">
        <v>10</v>
      </c>
      <c r="K38">
        <v>11</v>
      </c>
      <c r="L38">
        <v>13</v>
      </c>
      <c r="M38">
        <v>11</v>
      </c>
      <c r="N38">
        <v>13</v>
      </c>
      <c r="O38">
        <v>17</v>
      </c>
      <c r="P38">
        <v>15</v>
      </c>
      <c r="Q38">
        <v>16</v>
      </c>
      <c r="R38">
        <v>15</v>
      </c>
      <c r="S38">
        <v>11</v>
      </c>
      <c r="T38">
        <f>SUM(I38:S38)</f>
        <v>139</v>
      </c>
    </row>
    <row r="39" spans="8:20" x14ac:dyDescent="0.25">
      <c r="H39" t="s">
        <v>87</v>
      </c>
      <c r="I39">
        <v>3</v>
      </c>
      <c r="J39">
        <v>6</v>
      </c>
      <c r="K39">
        <v>8</v>
      </c>
      <c r="L39">
        <v>12</v>
      </c>
      <c r="M39">
        <v>11</v>
      </c>
      <c r="N39">
        <v>13</v>
      </c>
      <c r="O39">
        <v>17</v>
      </c>
      <c r="P39">
        <v>15</v>
      </c>
      <c r="Q39">
        <v>16</v>
      </c>
      <c r="R39">
        <v>15</v>
      </c>
      <c r="S39">
        <v>11</v>
      </c>
      <c r="T39">
        <f>SUM(I39:S39)</f>
        <v>127</v>
      </c>
    </row>
  </sheetData>
  <autoFilter ref="B4:W29"/>
  <mergeCells count="3">
    <mergeCell ref="C15:C16"/>
    <mergeCell ref="F15:F16"/>
    <mergeCell ref="G15:G16"/>
  </mergeCells>
  <pageMargins left="0.7" right="0.7" top="0.75" bottom="0.75" header="0.3" footer="0.3"/>
  <pageSetup paperSize="9" orientation="portrait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3"/>
  <sheetViews>
    <sheetView topLeftCell="F1" workbookViewId="0">
      <selection activeCell="H24" sqref="H24"/>
    </sheetView>
  </sheetViews>
  <sheetFormatPr baseColWidth="10" defaultRowHeight="15" x14ac:dyDescent="0.25"/>
  <cols>
    <col min="2" max="2" width="34.7109375" bestFit="1" customWidth="1"/>
    <col min="3" max="3" width="11.85546875" customWidth="1"/>
    <col min="4" max="4" width="26.42578125" customWidth="1"/>
    <col min="5" max="5" width="21.5703125" customWidth="1"/>
    <col min="6" max="6" width="25.5703125" customWidth="1"/>
    <col min="7" max="7" width="16.85546875" customWidth="1"/>
    <col min="8" max="8" width="17" customWidth="1"/>
    <col min="9" max="9" width="11.85546875" bestFit="1" customWidth="1"/>
    <col min="10" max="10" width="21.28515625" customWidth="1"/>
    <col min="12" max="12" width="29.42578125" bestFit="1" customWidth="1"/>
  </cols>
  <sheetData>
    <row r="3" spans="2:14" x14ac:dyDescent="0.25">
      <c r="B3" s="1"/>
      <c r="C3" s="1"/>
      <c r="D3" s="1"/>
    </row>
    <row r="4" spans="2:14" ht="60" x14ac:dyDescent="0.25">
      <c r="B4" s="16" t="s">
        <v>22</v>
      </c>
      <c r="C4" s="17" t="s">
        <v>12</v>
      </c>
      <c r="D4" s="17" t="s">
        <v>13</v>
      </c>
      <c r="E4" s="2" t="s">
        <v>36</v>
      </c>
      <c r="F4" s="2" t="s">
        <v>18</v>
      </c>
      <c r="G4" s="2" t="s">
        <v>58</v>
      </c>
      <c r="H4" s="3" t="s">
        <v>40</v>
      </c>
      <c r="I4" s="4" t="s">
        <v>56</v>
      </c>
      <c r="J4" s="4" t="s">
        <v>0</v>
      </c>
      <c r="L4" s="4" t="s">
        <v>1</v>
      </c>
      <c r="M4" s="4" t="s">
        <v>2</v>
      </c>
      <c r="N4" s="4" t="s">
        <v>3</v>
      </c>
    </row>
    <row r="5" spans="2:14" ht="45" x14ac:dyDescent="0.25">
      <c r="B5" s="17" t="s">
        <v>46</v>
      </c>
      <c r="C5" s="24">
        <v>53</v>
      </c>
      <c r="D5" s="18" t="s">
        <v>17</v>
      </c>
      <c r="E5" s="24">
        <v>196</v>
      </c>
      <c r="F5" s="21" t="s">
        <v>23</v>
      </c>
      <c r="G5" s="21">
        <v>53</v>
      </c>
      <c r="H5" s="34">
        <v>15.6</v>
      </c>
      <c r="I5" s="31">
        <f>C5*H5</f>
        <v>826.8</v>
      </c>
      <c r="J5" s="8">
        <f t="shared" ref="J5:J12" si="0">G5/C5</f>
        <v>1</v>
      </c>
      <c r="L5" s="9" t="s">
        <v>4</v>
      </c>
      <c r="M5" s="7">
        <f t="shared" ref="M5:M10" si="1">J5*E5</f>
        <v>196</v>
      </c>
      <c r="N5" s="7" t="e">
        <f>J5*#REF!</f>
        <v>#REF!</v>
      </c>
    </row>
    <row r="6" spans="2:14" ht="45" x14ac:dyDescent="0.25">
      <c r="B6" s="17" t="s">
        <v>47</v>
      </c>
      <c r="C6" s="24">
        <v>39</v>
      </c>
      <c r="D6" s="18" t="s">
        <v>16</v>
      </c>
      <c r="E6" s="24">
        <v>43</v>
      </c>
      <c r="F6" s="21" t="s">
        <v>20</v>
      </c>
      <c r="G6" s="21">
        <v>39</v>
      </c>
      <c r="H6" s="34">
        <v>17.2</v>
      </c>
      <c r="I6" s="31">
        <f t="shared" ref="I6:I11" si="2">C6*H6</f>
        <v>670.8</v>
      </c>
      <c r="J6" s="8">
        <f t="shared" si="0"/>
        <v>1</v>
      </c>
      <c r="L6" s="9" t="s">
        <v>5</v>
      </c>
      <c r="M6" s="7">
        <f t="shared" si="1"/>
        <v>43</v>
      </c>
      <c r="N6" s="7" t="e">
        <f>J6*#REF!</f>
        <v>#REF!</v>
      </c>
    </row>
    <row r="7" spans="2:14" ht="45" x14ac:dyDescent="0.25">
      <c r="B7" s="17" t="s">
        <v>50</v>
      </c>
      <c r="C7" s="24">
        <v>13</v>
      </c>
      <c r="D7" s="18" t="s">
        <v>14</v>
      </c>
      <c r="E7" s="24">
        <v>13</v>
      </c>
      <c r="F7" s="21" t="s">
        <v>21</v>
      </c>
      <c r="G7" s="21">
        <v>13</v>
      </c>
      <c r="H7" s="34">
        <v>15.05</v>
      </c>
      <c r="I7" s="31">
        <f t="shared" si="2"/>
        <v>195.65</v>
      </c>
      <c r="J7" s="8">
        <f t="shared" si="0"/>
        <v>1</v>
      </c>
      <c r="L7" s="9" t="s">
        <v>6</v>
      </c>
      <c r="M7" s="7">
        <f t="shared" si="1"/>
        <v>13</v>
      </c>
      <c r="N7" s="7" t="e">
        <f>J7*#REF!</f>
        <v>#REF!</v>
      </c>
    </row>
    <row r="8" spans="2:14" ht="45" x14ac:dyDescent="0.25">
      <c r="B8" s="17" t="s">
        <v>48</v>
      </c>
      <c r="C8" s="24">
        <v>109</v>
      </c>
      <c r="D8" s="18" t="s">
        <v>15</v>
      </c>
      <c r="E8" s="24">
        <v>190</v>
      </c>
      <c r="F8" s="21" t="s">
        <v>24</v>
      </c>
      <c r="G8" s="21">
        <v>109</v>
      </c>
      <c r="H8" s="34">
        <v>17.2</v>
      </c>
      <c r="I8" s="31">
        <f t="shared" si="2"/>
        <v>1874.8</v>
      </c>
      <c r="J8" s="8">
        <f t="shared" si="0"/>
        <v>1</v>
      </c>
      <c r="L8" s="9" t="s">
        <v>7</v>
      </c>
      <c r="M8" s="7">
        <f t="shared" si="1"/>
        <v>190</v>
      </c>
      <c r="N8" s="7" t="e">
        <f>J8*#REF!</f>
        <v>#REF!</v>
      </c>
    </row>
    <row r="9" spans="2:14" ht="50.25" customHeight="1" x14ac:dyDescent="0.25">
      <c r="B9" s="17" t="s">
        <v>49</v>
      </c>
      <c r="C9" s="24">
        <v>329</v>
      </c>
      <c r="D9" s="18" t="s">
        <v>37</v>
      </c>
      <c r="E9" s="24">
        <f>47*8</f>
        <v>376</v>
      </c>
      <c r="F9" s="21" t="s">
        <v>25</v>
      </c>
      <c r="G9" s="21">
        <v>329</v>
      </c>
      <c r="H9" s="34">
        <v>14.5</v>
      </c>
      <c r="I9" s="31">
        <f t="shared" si="2"/>
        <v>4770.5</v>
      </c>
      <c r="J9" s="8">
        <f t="shared" si="0"/>
        <v>1</v>
      </c>
      <c r="L9" s="9" t="s">
        <v>8</v>
      </c>
      <c r="M9" s="7">
        <f t="shared" si="1"/>
        <v>376</v>
      </c>
      <c r="N9" s="7" t="e">
        <f>J9*#REF!</f>
        <v>#REF!</v>
      </c>
    </row>
    <row r="10" spans="2:14" ht="30" x14ac:dyDescent="0.25">
      <c r="B10" s="16" t="s">
        <v>30</v>
      </c>
      <c r="C10" s="24">
        <v>105</v>
      </c>
      <c r="D10" s="18" t="s">
        <v>31</v>
      </c>
      <c r="E10" s="24">
        <v>60</v>
      </c>
      <c r="F10" s="21" t="s">
        <v>26</v>
      </c>
      <c r="G10" s="21">
        <v>60</v>
      </c>
      <c r="H10" s="34">
        <v>13.65</v>
      </c>
      <c r="I10" s="31">
        <f t="shared" si="2"/>
        <v>1433.25</v>
      </c>
      <c r="J10" s="8">
        <f t="shared" si="0"/>
        <v>0.5714285714285714</v>
      </c>
      <c r="L10" s="9" t="s">
        <v>9</v>
      </c>
      <c r="M10" s="7">
        <f t="shared" si="1"/>
        <v>34.285714285714285</v>
      </c>
      <c r="N10" s="7" t="e">
        <f>J10*#REF!</f>
        <v>#REF!</v>
      </c>
    </row>
    <row r="11" spans="2:14" ht="45" x14ac:dyDescent="0.25">
      <c r="B11" s="17" t="s">
        <v>51</v>
      </c>
      <c r="C11" s="24">
        <v>39</v>
      </c>
      <c r="D11" s="18" t="s">
        <v>27</v>
      </c>
      <c r="E11" s="24">
        <v>6.5</v>
      </c>
      <c r="F11" s="21" t="s">
        <v>41</v>
      </c>
      <c r="G11" s="21">
        <v>7</v>
      </c>
      <c r="H11" s="34">
        <v>15.2</v>
      </c>
      <c r="I11" s="31">
        <f t="shared" si="2"/>
        <v>592.79999999999995</v>
      </c>
      <c r="J11" s="8">
        <f t="shared" si="0"/>
        <v>0.17948717948717949</v>
      </c>
      <c r="L11" s="9"/>
      <c r="M11" s="7"/>
      <c r="N11" s="7"/>
    </row>
    <row r="12" spans="2:14" ht="45" x14ac:dyDescent="0.25">
      <c r="B12" s="16" t="s">
        <v>32</v>
      </c>
      <c r="C12" s="45">
        <v>158</v>
      </c>
      <c r="D12" s="18" t="s">
        <v>28</v>
      </c>
      <c r="E12" s="24">
        <v>12</v>
      </c>
      <c r="F12" s="21" t="s">
        <v>42</v>
      </c>
      <c r="G12" s="49">
        <v>32</v>
      </c>
      <c r="H12" s="34">
        <v>14.5</v>
      </c>
      <c r="I12" s="47">
        <f>C12*H12</f>
        <v>2291</v>
      </c>
      <c r="J12" s="51">
        <f t="shared" si="0"/>
        <v>0.20253164556962025</v>
      </c>
      <c r="L12" s="9"/>
      <c r="M12" s="7"/>
      <c r="N12" s="7"/>
    </row>
    <row r="13" spans="2:14" ht="45" x14ac:dyDescent="0.25">
      <c r="B13" s="17" t="s">
        <v>52</v>
      </c>
      <c r="C13" s="46"/>
      <c r="D13" s="18" t="s">
        <v>39</v>
      </c>
      <c r="E13" s="24">
        <v>19.5</v>
      </c>
      <c r="F13" s="21" t="s">
        <v>43</v>
      </c>
      <c r="G13" s="50"/>
      <c r="H13" s="34">
        <v>14.5</v>
      </c>
      <c r="I13" s="48"/>
      <c r="J13" s="52"/>
      <c r="L13" s="9"/>
      <c r="M13" s="7"/>
      <c r="N13" s="7"/>
    </row>
    <row r="14" spans="2:14" ht="30.75" customHeight="1" x14ac:dyDescent="0.25">
      <c r="B14" s="17" t="s">
        <v>53</v>
      </c>
      <c r="C14" s="23">
        <v>9</v>
      </c>
      <c r="D14" s="18" t="s">
        <v>29</v>
      </c>
      <c r="E14" s="24">
        <v>6.5</v>
      </c>
      <c r="F14" s="21" t="s">
        <v>44</v>
      </c>
      <c r="G14" s="21">
        <v>7</v>
      </c>
      <c r="H14" s="34">
        <v>14.5</v>
      </c>
      <c r="I14" s="31">
        <f t="shared" ref="I14:I17" si="3">C14*H14</f>
        <v>130.5</v>
      </c>
      <c r="J14" s="8">
        <f>G14/C14</f>
        <v>0.77777777777777779</v>
      </c>
      <c r="L14" s="9"/>
      <c r="M14" s="7"/>
      <c r="N14" s="7"/>
    </row>
    <row r="15" spans="2:14" ht="45.75" customHeight="1" x14ac:dyDescent="0.25">
      <c r="B15" s="17" t="s">
        <v>54</v>
      </c>
      <c r="C15" s="23">
        <v>20</v>
      </c>
      <c r="D15" s="18"/>
      <c r="E15" s="6"/>
      <c r="F15" s="21" t="s">
        <v>38</v>
      </c>
      <c r="G15" s="21"/>
      <c r="H15" s="34">
        <v>16.7</v>
      </c>
      <c r="I15" s="31">
        <f t="shared" si="3"/>
        <v>334</v>
      </c>
      <c r="J15" s="8">
        <f>G15/C15</f>
        <v>0</v>
      </c>
      <c r="L15" s="9"/>
      <c r="M15" s="7"/>
      <c r="N15" s="7"/>
    </row>
    <row r="16" spans="2:14" ht="30.75" customHeight="1" x14ac:dyDescent="0.25">
      <c r="B16" s="25" t="s">
        <v>33</v>
      </c>
      <c r="C16" s="26">
        <v>39</v>
      </c>
      <c r="D16" s="27"/>
      <c r="E16" s="28"/>
      <c r="F16" s="29" t="s">
        <v>34</v>
      </c>
      <c r="G16" s="21"/>
      <c r="H16" s="34">
        <v>14.26</v>
      </c>
      <c r="I16" s="31">
        <f t="shared" si="3"/>
        <v>556.14</v>
      </c>
      <c r="J16" s="8">
        <f>G16/C16</f>
        <v>0</v>
      </c>
      <c r="L16" s="9"/>
      <c r="M16" s="7"/>
      <c r="N16" s="7"/>
    </row>
    <row r="17" spans="2:14" ht="30.75" customHeight="1" x14ac:dyDescent="0.25">
      <c r="B17" s="17" t="s">
        <v>35</v>
      </c>
      <c r="C17" s="23">
        <v>39</v>
      </c>
      <c r="D17" s="18"/>
      <c r="E17" s="6"/>
      <c r="F17" s="21" t="s">
        <v>34</v>
      </c>
      <c r="G17" s="21"/>
      <c r="H17" s="34">
        <v>14.5</v>
      </c>
      <c r="I17" s="31">
        <f t="shared" si="3"/>
        <v>565.5</v>
      </c>
      <c r="J17" s="8">
        <f>G17/C17</f>
        <v>0</v>
      </c>
      <c r="L17" s="9"/>
      <c r="M17" s="7"/>
      <c r="N17" s="7"/>
    </row>
    <row r="18" spans="2:14" ht="30.75" customHeight="1" x14ac:dyDescent="0.25">
      <c r="B18" s="32" t="s">
        <v>12</v>
      </c>
      <c r="C18" s="23">
        <f>SUM(C5:C17)</f>
        <v>952</v>
      </c>
      <c r="D18" s="5"/>
      <c r="E18" s="15"/>
      <c r="F18" s="22"/>
      <c r="G18" s="22"/>
      <c r="H18" s="10"/>
      <c r="I18" s="19"/>
      <c r="J18" s="20"/>
      <c r="L18" s="9"/>
      <c r="M18" s="7"/>
      <c r="N18" s="7"/>
    </row>
    <row r="19" spans="2:14" x14ac:dyDescent="0.25">
      <c r="B19" s="32" t="s">
        <v>19</v>
      </c>
      <c r="C19" s="5"/>
      <c r="D19" s="5"/>
      <c r="E19" s="23">
        <f>SUM(E5:E14)</f>
        <v>922.5</v>
      </c>
      <c r="F19" s="8">
        <f>E19/C18</f>
        <v>0.96901260504201681</v>
      </c>
      <c r="G19" s="23">
        <f>SUM(G5:G14)</f>
        <v>649</v>
      </c>
      <c r="H19" s="35">
        <f>G19/C18</f>
        <v>0.68172268907563027</v>
      </c>
      <c r="I19" s="11"/>
      <c r="L19" s="12" t="s">
        <v>10</v>
      </c>
      <c r="M19" s="7">
        <f>SUM(M5:M10)</f>
        <v>852.28571428571433</v>
      </c>
      <c r="N19" s="7" t="e">
        <f>SUM(N5:N10)</f>
        <v>#REF!</v>
      </c>
    </row>
    <row r="20" spans="2:14" x14ac:dyDescent="0.25">
      <c r="B20" s="33" t="s">
        <v>57</v>
      </c>
      <c r="C20" s="13"/>
      <c r="D20" s="13"/>
      <c r="E20" s="13"/>
      <c r="F20" s="13"/>
      <c r="G20" s="13"/>
      <c r="H20" s="13"/>
      <c r="I20" s="11"/>
      <c r="L20" s="12" t="s">
        <v>11</v>
      </c>
      <c r="M20" s="14">
        <f>M19/E19</f>
        <v>0.92388695315524594</v>
      </c>
      <c r="N20" s="14" t="e">
        <f>N19/#REF!</f>
        <v>#REF!</v>
      </c>
    </row>
    <row r="22" spans="2:14" x14ac:dyDescent="0.25">
      <c r="B22" t="s">
        <v>55</v>
      </c>
    </row>
    <row r="23" spans="2:14" x14ac:dyDescent="0.25">
      <c r="B23" s="30" t="s">
        <v>45</v>
      </c>
    </row>
  </sheetData>
  <mergeCells count="4">
    <mergeCell ref="C12:C13"/>
    <mergeCell ref="G12:G13"/>
    <mergeCell ref="I12:I13"/>
    <mergeCell ref="J12:J1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Tonnage contractualisé</vt:lpstr>
      <vt:lpstr>mensualisation</vt:lpstr>
      <vt:lpstr>brouillon (2)</vt:lpstr>
    </vt:vector>
  </TitlesOfParts>
  <Company>ERAMET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Raymond Allier</dc:creator>
  <cp:lastModifiedBy>Patrick Delaborde</cp:lastModifiedBy>
  <dcterms:created xsi:type="dcterms:W3CDTF">2019-01-08T08:47:34Z</dcterms:created>
  <dcterms:modified xsi:type="dcterms:W3CDTF">2019-01-21T17:11:19Z</dcterms:modified>
</cp:coreProperties>
</file>