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25" windowWidth="19320" windowHeight="11070"/>
  </bookViews>
  <sheets>
    <sheet name="Paramètres" sheetId="3" r:id="rId1"/>
    <sheet name="Matières" sheetId="5" r:id="rId2"/>
    <sheet name="Calcul Devis 100% Chutes" sheetId="4" r:id="rId3"/>
  </sheets>
  <definedNames>
    <definedName name="cdfusion">Paramètres!$I$19</definedName>
    <definedName name="chuferro">'Calcul Devis 100% Chutes'!$B$44</definedName>
    <definedName name="copeau">'Calcul Devis 100% Chutes'!$B$43</definedName>
    <definedName name="eurodol">#REF!</definedName>
    <definedName name="fgxfusion">Paramètres!$I$20</definedName>
    <definedName name="krecup">Paramètres!$E$15</definedName>
    <definedName name="massif">'Calcul Devis 100% Chutes'!$B$42</definedName>
    <definedName name="parite">Paramètres!$I$4</definedName>
    <definedName name="partepongex">Paramètres!$L$6</definedName>
    <definedName name="PCopeaux">Paramètres!$E$4</definedName>
    <definedName name="perteecroutage">Paramètres!$I$24</definedName>
    <definedName name="pertegalette">Paramètres!$I$23</definedName>
    <definedName name="Pmassifs">Paramètres!$E$5</definedName>
    <definedName name="pxcoptrait">Paramètres!$C$39</definedName>
    <definedName name="pxeponge">Paramètres!$L$4</definedName>
    <definedName name="pxmarcopeau">Paramètres!$C$21</definedName>
    <definedName name="pxmarferroti">Paramètres!$C$22</definedName>
    <definedName name="pxmarlingot">Paramètres!$C$19</definedName>
    <definedName name="pxmarmassif">Paramètres!$C$20</definedName>
    <definedName name="pxmasteral">Paramètres!$L$13</definedName>
    <definedName name="pxnegcopeau">Paramètres!$C$34</definedName>
    <definedName name="pxnegmassif">Paramètres!$C$33</definedName>
    <definedName name="pxrccopeau">Paramètres!$C$26</definedName>
    <definedName name="pxrciacopeau">Paramètres!$C$30</definedName>
    <definedName name="pxrciamassif">Paramètres!$C$29</definedName>
    <definedName name="pxrcmassif">Paramètres!$C$25</definedName>
    <definedName name="Rdtcopeaux">Paramètres!$E$13</definedName>
    <definedName name="Rdtmassifs">Paramètres!$E$12</definedName>
    <definedName name="ruplasma">Paramètres!$I$21</definedName>
    <definedName name="ruvar">Paramètres!$I$22</definedName>
    <definedName name="Tacopeaux">Paramètres!$E$7</definedName>
    <definedName name="Tamassifs">Paramètres!$E$8</definedName>
    <definedName name="tcopeaux">'Calcul Devis 100% Chutes'!$B$9</definedName>
    <definedName name="tmassifs">'Calcul Devis 100% Chutes'!$B$8</definedName>
    <definedName name="Trcopeaux">Paramètres!$E$9</definedName>
    <definedName name="Trmassifs">Paramètres!$E$10</definedName>
  </definedNames>
  <calcPr calcId="145621" concurrentCalc="0"/>
</workbook>
</file>

<file path=xl/calcChain.xml><?xml version="1.0" encoding="utf-8"?>
<calcChain xmlns="http://schemas.openxmlformats.org/spreadsheetml/2006/main">
  <c r="B43" i="5" l="1"/>
  <c r="O17" i="4"/>
  <c r="O12" i="4"/>
  <c r="O8" i="4"/>
  <c r="B28" i="5"/>
  <c r="B8" i="4"/>
  <c r="G8" i="4"/>
  <c r="K8" i="4"/>
  <c r="B29" i="5"/>
  <c r="B9" i="4"/>
  <c r="G9" i="4"/>
  <c r="K9" i="4"/>
  <c r="K10" i="4"/>
  <c r="K14" i="4"/>
  <c r="L14" i="4"/>
  <c r="G10" i="4"/>
  <c r="Z8" i="4"/>
  <c r="Y9" i="4"/>
  <c r="Z9" i="4"/>
  <c r="Y10" i="4"/>
  <c r="Z10" i="4"/>
  <c r="Y11" i="4"/>
  <c r="Z11" i="4"/>
  <c r="Y12" i="4"/>
  <c r="Z12" i="4"/>
  <c r="Y13" i="4"/>
  <c r="Z13" i="4"/>
  <c r="AD10" i="4"/>
  <c r="L25" i="4"/>
  <c r="Y17" i="4"/>
  <c r="Y19" i="4"/>
  <c r="AA19" i="4"/>
  <c r="AA25" i="4"/>
  <c r="AD24" i="4"/>
  <c r="D9" i="5"/>
  <c r="D15" i="5"/>
  <c r="D21" i="5"/>
  <c r="D28" i="5"/>
  <c r="D10" i="5"/>
  <c r="D16" i="5"/>
  <c r="D22" i="5"/>
  <c r="D29" i="5"/>
  <c r="D30" i="5"/>
  <c r="C10" i="4"/>
  <c r="C25" i="4"/>
  <c r="H8" i="4"/>
  <c r="H9" i="4"/>
  <c r="H10" i="4"/>
  <c r="H25" i="4"/>
  <c r="P8" i="4"/>
  <c r="O10" i="4"/>
  <c r="P10" i="4"/>
  <c r="D43" i="5"/>
  <c r="P17" i="4"/>
  <c r="P25" i="4"/>
  <c r="S8" i="4"/>
  <c r="S25" i="4"/>
  <c r="V8" i="4"/>
  <c r="V25" i="4"/>
  <c r="AD23" i="4"/>
  <c r="C43" i="5"/>
  <c r="D42" i="5"/>
  <c r="D44" i="5"/>
  <c r="B44" i="5"/>
  <c r="C39" i="3"/>
  <c r="L29" i="3"/>
  <c r="L31" i="3"/>
  <c r="K31" i="3"/>
  <c r="K28" i="3"/>
  <c r="AG25" i="4"/>
  <c r="AF23" i="4"/>
  <c r="AG23" i="4"/>
  <c r="L11" i="5"/>
  <c r="B23" i="5"/>
  <c r="B17" i="5"/>
  <c r="B11" i="5"/>
  <c r="B5" i="5"/>
  <c r="C16" i="5"/>
  <c r="C15" i="5"/>
  <c r="C10" i="5"/>
  <c r="C9" i="5"/>
  <c r="C4" i="5"/>
  <c r="C3" i="5"/>
  <c r="C22" i="5"/>
  <c r="C21" i="5"/>
  <c r="I20" i="3"/>
  <c r="I19" i="3"/>
  <c r="Y18" i="4"/>
  <c r="L12" i="3"/>
  <c r="L10" i="3"/>
  <c r="M17" i="3"/>
  <c r="L17" i="3"/>
  <c r="N15" i="3"/>
  <c r="O14" i="4"/>
  <c r="N17" i="3"/>
  <c r="L16" i="3"/>
  <c r="L12" i="4"/>
  <c r="D11" i="5"/>
  <c r="D4" i="5"/>
  <c r="D3" i="5"/>
  <c r="D23" i="5"/>
  <c r="B36" i="5"/>
  <c r="B35" i="5"/>
  <c r="I33" i="4"/>
  <c r="I32" i="4"/>
  <c r="I31" i="4"/>
  <c r="I30" i="4"/>
  <c r="I29" i="4"/>
  <c r="I28" i="4"/>
  <c r="B37" i="5"/>
  <c r="D17" i="5"/>
  <c r="D5" i="5"/>
  <c r="B30" i="5"/>
  <c r="C28" i="5"/>
  <c r="N16" i="3"/>
  <c r="L13" i="3"/>
  <c r="D36" i="5"/>
  <c r="D35" i="5"/>
  <c r="D37" i="5"/>
  <c r="C9" i="4"/>
  <c r="B10" i="4"/>
  <c r="C29" i="5"/>
  <c r="C8" i="4"/>
  <c r="F9" i="4"/>
  <c r="F8" i="4"/>
  <c r="N54" i="4"/>
  <c r="L54" i="4"/>
  <c r="N50" i="4"/>
  <c r="N51" i="4"/>
  <c r="L50" i="4"/>
  <c r="L51" i="4"/>
  <c r="G52" i="4"/>
  <c r="G51" i="4"/>
  <c r="G50" i="4"/>
  <c r="G49" i="4"/>
  <c r="G48" i="4"/>
  <c r="G47" i="4"/>
  <c r="L10" i="5"/>
  <c r="L5" i="5"/>
  <c r="L12" i="5"/>
  <c r="L14" i="5"/>
  <c r="AC18" i="4"/>
  <c r="L10" i="4"/>
  <c r="L9" i="5"/>
  <c r="L13" i="5"/>
  <c r="H52" i="4"/>
  <c r="N52" i="4"/>
  <c r="H46" i="4"/>
  <c r="N46" i="4"/>
  <c r="H49" i="4"/>
  <c r="N49" i="4"/>
  <c r="AD18" i="4"/>
  <c r="P12" i="4"/>
  <c r="H48" i="4"/>
  <c r="L48" i="4"/>
  <c r="J47" i="4"/>
  <c r="N47" i="4"/>
  <c r="AD12" i="4"/>
  <c r="S2" i="4"/>
  <c r="L52" i="4"/>
  <c r="AD14" i="4"/>
  <c r="L49" i="4"/>
  <c r="L46" i="4"/>
  <c r="N48" i="4"/>
  <c r="N56" i="4"/>
  <c r="N57" i="4"/>
  <c r="AD25" i="4"/>
  <c r="L47" i="4"/>
  <c r="L56" i="4"/>
  <c r="L58" i="4"/>
  <c r="L4" i="5"/>
  <c r="AD20" i="4"/>
  <c r="N55" i="4"/>
  <c r="O57" i="4"/>
  <c r="N58" i="4"/>
  <c r="L55" i="4"/>
  <c r="L57" i="4"/>
  <c r="O58" i="4"/>
</calcChain>
</file>

<file path=xl/comments1.xml><?xml version="1.0" encoding="utf-8"?>
<comments xmlns="http://schemas.openxmlformats.org/spreadsheetml/2006/main">
  <authors>
    <author>Patrick Delaborde</author>
  </authors>
  <commentList>
    <comment ref="I19" authorId="0">
      <text>
        <r>
          <rPr>
            <b/>
            <sz val="9"/>
            <color indexed="81"/>
            <rFont val="Tahoma"/>
            <family val="2"/>
          </rPr>
          <t>Patrick Delaborde:</t>
        </r>
        <r>
          <rPr>
            <sz val="9"/>
            <color indexed="81"/>
            <rFont val="Tahoma"/>
            <family val="2"/>
          </rPr>
          <t xml:space="preserve">
Nouvelle valeur 2013 04 en phase avec DAE (diminution des coûts de maintenance et passage en amortissement du résiduel + hausse des prestations, ajout des hypothèses de productivité MO et Œuvres sociales).</t>
        </r>
      </text>
    </comment>
  </commentList>
</comments>
</file>

<file path=xl/comments2.xml><?xml version="1.0" encoding="utf-8"?>
<comments xmlns="http://schemas.openxmlformats.org/spreadsheetml/2006/main">
  <authors>
    <author>Patrick Delaborde</author>
  </authors>
  <commentList>
    <comment ref="AF23" authorId="0">
      <text>
        <r>
          <rPr>
            <b/>
            <sz val="9"/>
            <color indexed="81"/>
            <rFont val="Tahoma"/>
            <family val="2"/>
          </rPr>
          <t>Patrick Delaborde:</t>
        </r>
        <r>
          <rPr>
            <sz val="9"/>
            <color indexed="81"/>
            <rFont val="Tahoma"/>
            <family val="2"/>
          </rPr>
          <t xml:space="preserve">
Coefficent calculé sur le modèle initial global, avec 4264,17 de chutes ventilées EC+ Marché et CD à 2,38 et Fgx 1,09 €/kg. Pour arriver à 25$
 </t>
        </r>
      </text>
    </comment>
    <comment ref="AF25" authorId="0">
      <text>
        <r>
          <rPr>
            <b/>
            <sz val="9"/>
            <color indexed="81"/>
            <rFont val="Tahoma"/>
            <family val="2"/>
          </rPr>
          <t>Patrick Delaborde:</t>
        </r>
        <r>
          <rPr>
            <sz val="9"/>
            <color indexed="81"/>
            <rFont val="Tahoma"/>
            <family val="2"/>
          </rPr>
          <t xml:space="preserve">
Coefficent calculé sur le modèle initial global, avec 4264,17 de chutes ventilées EC+ Marché et CD à 2,38 et Fgx 1,09 €/kg. Pour arriver à 25$
</t>
        </r>
      </text>
    </comment>
  </commentList>
</comments>
</file>

<file path=xl/sharedStrings.xml><?xml version="1.0" encoding="utf-8"?>
<sst xmlns="http://schemas.openxmlformats.org/spreadsheetml/2006/main" count="183" uniqueCount="114">
  <si>
    <t>Massif</t>
  </si>
  <si>
    <t>Copeaux</t>
  </si>
  <si>
    <t>t</t>
  </si>
  <si>
    <t>k$</t>
  </si>
  <si>
    <t>Chutes Marché Libre</t>
  </si>
  <si>
    <t>Processing</t>
  </si>
  <si>
    <t>Coût du processing copeaux (€/kg) :</t>
  </si>
  <si>
    <t>Coût du processing chutes (€/kg) :</t>
  </si>
  <si>
    <t>Coût du transport aller des copeaux (€/kg) :</t>
  </si>
  <si>
    <t>Coût du transport aller des chutes (€/kg) :</t>
  </si>
  <si>
    <t>Coût du transport retour des copeaux (€/kg) :</t>
  </si>
  <si>
    <t>Coût du transport retour des chutes (€/kg) :</t>
  </si>
  <si>
    <t>Vente perte du processing</t>
  </si>
  <si>
    <t>Total</t>
  </si>
  <si>
    <t>CD</t>
  </si>
  <si>
    <t>Montant</t>
  </si>
  <si>
    <t>FGx</t>
  </si>
  <si>
    <t>Vente chutes</t>
  </si>
  <si>
    <t>CA</t>
  </si>
  <si>
    <t>Vente</t>
  </si>
  <si>
    <t>Année 2020</t>
  </si>
  <si>
    <t>Tonnage lingot</t>
  </si>
  <si>
    <t>$/kg</t>
  </si>
  <si>
    <t>Matières Premières</t>
  </si>
  <si>
    <t>Chutes</t>
  </si>
  <si>
    <t>€/kg</t>
  </si>
  <si>
    <t>Marge Cible</t>
  </si>
  <si>
    <t>Coût Direct</t>
  </si>
  <si>
    <t>Coût Complet</t>
  </si>
  <si>
    <t>Prix de Vente Cible</t>
  </si>
  <si>
    <t>Prix de Vente Possible</t>
  </si>
  <si>
    <t>Mco</t>
  </si>
  <si>
    <t>Chu FeTi</t>
  </si>
  <si>
    <t>Galettes de refusion</t>
  </si>
  <si>
    <t>Rdt</t>
  </si>
  <si>
    <t>Total Massif</t>
  </si>
  <si>
    <t>Total Copeaux</t>
  </si>
  <si>
    <t>Total Chutes</t>
  </si>
  <si>
    <t>Chutes Internes</t>
  </si>
  <si>
    <t>Chutes "Négoce"</t>
  </si>
  <si>
    <t>Processing / Traitement des chutes</t>
  </si>
  <si>
    <t>Coût du processing massifs (€/kg) :</t>
  </si>
  <si>
    <t>Coût du transport aller des massifs (€/kg) :</t>
  </si>
  <si>
    <t>Coût du transport retour des massifs (€/kg) :</t>
  </si>
  <si>
    <t>Rendement Traitement Copeaux</t>
  </si>
  <si>
    <t>Rendement Traitement Massifs</t>
  </si>
  <si>
    <t>Massifs</t>
  </si>
  <si>
    <t>Prix Unitaire</t>
  </si>
  <si>
    <t>Parité € / $</t>
  </si>
  <si>
    <t>Prix Lingot ($/kg)</t>
  </si>
  <si>
    <t>Prix Massif ($/kg)</t>
  </si>
  <si>
    <t>Prix Copeaux ($/kg)</t>
  </si>
  <si>
    <t>Prix Chutes Ferroti ($/kg)</t>
  </si>
  <si>
    <t>Données Marché Libre TA6V</t>
  </si>
  <si>
    <t>Tonnage</t>
  </si>
  <si>
    <t>Prix Total 
(k$)</t>
  </si>
  <si>
    <t>Prix Unitaire 
($/kg)</t>
  </si>
  <si>
    <t>Récupération</t>
  </si>
  <si>
    <t>Coefficient de récupération pour vente de chutes</t>
  </si>
  <si>
    <t>Eponges</t>
  </si>
  <si>
    <t>Master Alloy</t>
  </si>
  <si>
    <t>Indice Eponge</t>
  </si>
  <si>
    <t>Eponges ($/kg)</t>
  </si>
  <si>
    <t>Total MA+Eponges</t>
  </si>
  <si>
    <t>Indice Malloy</t>
  </si>
  <si>
    <t>Marge</t>
  </si>
  <si>
    <t>Chutes Eco Circulaire Client</t>
  </si>
  <si>
    <t>Eponge exploitable</t>
  </si>
  <si>
    <t>Part éponges hors Poussières</t>
  </si>
  <si>
    <t>Malloy V/A 35/65 ($/kg)</t>
  </si>
  <si>
    <t>Complément V %</t>
  </si>
  <si>
    <t>1Kg MA 35V 65A</t>
  </si>
  <si>
    <t>V</t>
  </si>
  <si>
    <t>A</t>
  </si>
  <si>
    <t>Vanadium ($/kg)</t>
  </si>
  <si>
    <t>Exploitation</t>
  </si>
  <si>
    <t>CD (€/kg)</t>
  </si>
  <si>
    <t>Fgx (€/kg)</t>
  </si>
  <si>
    <t>Prix de vente</t>
  </si>
  <si>
    <t>Coût de production hors vente chute</t>
  </si>
  <si>
    <t>Vente Chutes</t>
  </si>
  <si>
    <t>Coût de production</t>
  </si>
  <si>
    <t>Marge ($/kg)</t>
  </si>
  <si>
    <t>Marge (€/kg)</t>
  </si>
  <si>
    <t>Total Enf</t>
  </si>
  <si>
    <t>PaF</t>
  </si>
  <si>
    <t>Rebut Plasma</t>
  </si>
  <si>
    <t>Rebut Var</t>
  </si>
  <si>
    <t>t nettes</t>
  </si>
  <si>
    <t>t écartées</t>
  </si>
  <si>
    <t>Ruplasma</t>
  </si>
  <si>
    <t>Ruvar</t>
  </si>
  <si>
    <t>Galettes</t>
  </si>
  <si>
    <t>Mise à blanc</t>
  </si>
  <si>
    <t>Mise à Blanc</t>
  </si>
  <si>
    <t>Prix Cible</t>
  </si>
  <si>
    <t>Contrat Retour Client</t>
  </si>
  <si>
    <t>Retour Interne Alliages</t>
  </si>
  <si>
    <t>Négoce</t>
  </si>
  <si>
    <t>Tonnage Lingot</t>
  </si>
  <si>
    <t>Avec Achat Chutes Marché</t>
  </si>
  <si>
    <t>Devis 1</t>
  </si>
  <si>
    <t>Devis 2</t>
  </si>
  <si>
    <t>Prix EC</t>
  </si>
  <si>
    <t>Prix Spot</t>
  </si>
  <si>
    <t>Volume EC</t>
  </si>
  <si>
    <t>Volume Spot</t>
  </si>
  <si>
    <t>Prix Devis 2</t>
  </si>
  <si>
    <t>Volume</t>
  </si>
  <si>
    <t>Retour Client Traité</t>
  </si>
  <si>
    <t>Total Chutes Déjà Traitées</t>
  </si>
  <si>
    <t>Total Chutes Non Traitées</t>
  </si>
  <si>
    <t>Total Chutes Non Traitées hors Chutes Marché</t>
  </si>
  <si>
    <t>Copeaux Retour Client Traité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</si>
</sst>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#,##0\ &quot;€&quot;;[Red]\-#,##0\ &quot;€&quot;"/>
    <numFmt numFmtId="43" formatCode="_-* #,##0.00\ _€_-;\-* #,##0.00\ _€_-;_-* &quot;-&quot;??\ _€_-;_-@_-"/>
    <numFmt numFmtId="164" formatCode="0.000"/>
    <numFmt numFmtId="165" formatCode="_-[$$-409]* #,##0.00_ ;_-[$$-409]* \-#,##0.00\ ;_-[$$-409]* &quot;-&quot;??_ ;_-@_ "/>
    <numFmt numFmtId="166" formatCode="_-* #,##0.00\ [$€-40C]_-;\-* #,##0.00\ [$€-40C]_-;_-* &quot;-&quot;??\ [$€-40C]_-;_-@_-"/>
    <numFmt numFmtId="167" formatCode="* #,##0.00&quot; €/kg&quot;"/>
    <numFmt numFmtId="169" formatCode="* #,##0.00&quot; $/kg&quot;"/>
    <numFmt numFmtId="170" formatCode="0.000000"/>
  </numFmts>
  <fonts count="15" x14ac:knownFonts="1">
    <font>
      <sz val="10"/>
      <name val="Arial"/>
    </font>
    <font>
      <sz val="8"/>
      <name val="Arial"/>
      <family val="2"/>
    </font>
    <font>
      <b/>
      <sz val="2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double">
        <color rgb="FFFF8001"/>
      </bottom>
      <diagonal/>
    </border>
    <border>
      <left/>
      <right/>
      <top style="thin">
        <color indexed="64"/>
      </top>
      <bottom style="double">
        <color rgb="FFFF8001"/>
      </bottom>
      <diagonal/>
    </border>
    <border>
      <left/>
      <right style="thin">
        <color indexed="64"/>
      </right>
      <top style="thin">
        <color indexed="64"/>
      </top>
      <bottom style="double">
        <color rgb="FFFF80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5" fillId="0" borderId="3" applyNumberFormat="0" applyFill="0" applyAlignment="0" applyProtection="0"/>
    <xf numFmtId="0" fontId="6" fillId="5" borderId="2" applyNumberFormat="0" applyAlignment="0" applyProtection="0"/>
    <xf numFmtId="0" fontId="7" fillId="4" borderId="4" applyNumberFormat="0" applyAlignment="0" applyProtection="0"/>
    <xf numFmtId="0" fontId="8" fillId="6" borderId="5" applyNumberFormat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2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1" fontId="0" fillId="0" borderId="0" xfId="0" applyNumberFormat="1"/>
    <xf numFmtId="164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/>
    <xf numFmtId="0" fontId="0" fillId="2" borderId="0" xfId="0" applyFill="1"/>
    <xf numFmtId="0" fontId="4" fillId="0" borderId="0" xfId="0" applyFont="1"/>
    <xf numFmtId="0" fontId="0" fillId="7" borderId="0" xfId="0" applyFill="1"/>
    <xf numFmtId="164" fontId="0" fillId="0" borderId="0" xfId="0" applyNumberFormat="1" applyFill="1" applyAlignment="1">
      <alignment horizontal="center"/>
    </xf>
    <xf numFmtId="0" fontId="0" fillId="0" borderId="0" xfId="0" applyFill="1"/>
    <xf numFmtId="169" fontId="0" fillId="0" borderId="0" xfId="0" applyNumberFormat="1" applyFill="1"/>
    <xf numFmtId="0" fontId="8" fillId="6" borderId="5" xfId="4"/>
    <xf numFmtId="0" fontId="6" fillId="5" borderId="2" xfId="2"/>
    <xf numFmtId="0" fontId="7" fillId="4" borderId="4" xfId="3"/>
    <xf numFmtId="169" fontId="6" fillId="5" borderId="2" xfId="2" applyNumberFormat="1"/>
    <xf numFmtId="164" fontId="6" fillId="5" borderId="2" xfId="2" applyNumberFormat="1"/>
    <xf numFmtId="167" fontId="6" fillId="5" borderId="2" xfId="2" applyNumberFormat="1"/>
    <xf numFmtId="169" fontId="7" fillId="4" borderId="4" xfId="3" applyNumberFormat="1"/>
    <xf numFmtId="164" fontId="7" fillId="4" borderId="4" xfId="3" applyNumberFormat="1"/>
    <xf numFmtId="167" fontId="7" fillId="4" borderId="4" xfId="3" applyNumberFormat="1"/>
    <xf numFmtId="9" fontId="7" fillId="4" borderId="4" xfId="3" applyNumberFormat="1"/>
    <xf numFmtId="167" fontId="8" fillId="6" borderId="5" xfId="4" applyNumberFormat="1"/>
    <xf numFmtId="169" fontId="8" fillId="6" borderId="5" xfId="4" applyNumberFormat="1"/>
    <xf numFmtId="164" fontId="8" fillId="6" borderId="5" xfId="4" applyNumberFormat="1"/>
    <xf numFmtId="0" fontId="7" fillId="4" borderId="6" xfId="3" applyBorder="1"/>
    <xf numFmtId="169" fontId="7" fillId="4" borderId="6" xfId="3" applyNumberFormat="1" applyBorder="1"/>
    <xf numFmtId="167" fontId="7" fillId="4" borderId="6" xfId="3" applyNumberFormat="1" applyBorder="1"/>
    <xf numFmtId="0" fontId="5" fillId="4" borderId="7" xfId="1" applyFill="1" applyBorder="1"/>
    <xf numFmtId="0" fontId="5" fillId="4" borderId="8" xfId="1" applyFill="1" applyBorder="1"/>
    <xf numFmtId="169" fontId="5" fillId="4" borderId="8" xfId="1" applyNumberFormat="1" applyFill="1" applyBorder="1"/>
    <xf numFmtId="167" fontId="5" fillId="4" borderId="8" xfId="1" applyNumberFormat="1" applyFill="1" applyBorder="1"/>
    <xf numFmtId="9" fontId="5" fillId="4" borderId="9" xfId="1" applyNumberFormat="1" applyFill="1" applyBorder="1"/>
    <xf numFmtId="0" fontId="5" fillId="4" borderId="10" xfId="1" applyFill="1" applyBorder="1"/>
    <xf numFmtId="0" fontId="5" fillId="4" borderId="11" xfId="1" applyFill="1" applyBorder="1"/>
    <xf numFmtId="169" fontId="5" fillId="4" borderId="11" xfId="1" applyNumberFormat="1" applyFill="1" applyBorder="1"/>
    <xf numFmtId="167" fontId="5" fillId="4" borderId="11" xfId="1" applyNumberFormat="1" applyFill="1" applyBorder="1"/>
    <xf numFmtId="9" fontId="5" fillId="4" borderId="12" xfId="1" applyNumberFormat="1" applyFill="1" applyBorder="1"/>
    <xf numFmtId="1" fontId="0" fillId="0" borderId="0" xfId="0" applyNumberFormat="1"/>
    <xf numFmtId="170" fontId="0" fillId="0" borderId="0" xfId="0" applyNumberFormat="1"/>
    <xf numFmtId="0" fontId="9" fillId="0" borderId="0" xfId="0" applyFont="1"/>
    <xf numFmtId="0" fontId="4" fillId="0" borderId="13" xfId="0" applyFont="1" applyBorder="1"/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8" borderId="1" xfId="0" applyFill="1" applyBorder="1"/>
    <xf numFmtId="2" fontId="0" fillId="9" borderId="0" xfId="0" applyNumberFormat="1" applyFill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43" fontId="0" fillId="9" borderId="0" xfId="5" applyNumberFormat="1" applyFont="1" applyFill="1" applyAlignment="1">
      <alignment horizontal="right"/>
    </xf>
    <xf numFmtId="43" fontId="0" fillId="0" borderId="0" xfId="5" applyNumberFormat="1" applyFont="1"/>
    <xf numFmtId="43" fontId="0" fillId="9" borderId="0" xfId="5" applyNumberFormat="1" applyFont="1" applyFill="1"/>
    <xf numFmtId="9" fontId="0" fillId="2" borderId="1" xfId="6" applyFont="1" applyFill="1" applyBorder="1" applyAlignment="1">
      <alignment horizontal="center"/>
    </xf>
    <xf numFmtId="9" fontId="0" fillId="0" borderId="0" xfId="6" applyFont="1"/>
    <xf numFmtId="0" fontId="4" fillId="0" borderId="1" xfId="0" applyFont="1" applyBorder="1"/>
    <xf numFmtId="6" fontId="0" fillId="0" borderId="1" xfId="0" applyNumberFormat="1" applyBorder="1"/>
    <xf numFmtId="2" fontId="0" fillId="2" borderId="1" xfId="6" applyNumberFormat="1" applyFont="1" applyFill="1" applyBorder="1" applyAlignment="1">
      <alignment horizontal="center"/>
    </xf>
    <xf numFmtId="0" fontId="12" fillId="0" borderId="0" xfId="0" applyFont="1"/>
    <xf numFmtId="164" fontId="0" fillId="0" borderId="0" xfId="0" applyNumberFormat="1"/>
    <xf numFmtId="165" fontId="0" fillId="2" borderId="1" xfId="6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2" fontId="0" fillId="10" borderId="0" xfId="0" applyNumberFormat="1" applyFill="1" applyBorder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4" fillId="7" borderId="0" xfId="0" applyFont="1" applyFill="1"/>
    <xf numFmtId="0" fontId="4" fillId="0" borderId="1" xfId="0" applyFont="1" applyBorder="1" applyAlignment="1">
      <alignment wrapText="1"/>
    </xf>
    <xf numFmtId="0" fontId="4" fillId="0" borderId="0" xfId="0" applyFont="1" applyFill="1" applyBorder="1"/>
    <xf numFmtId="166" fontId="0" fillId="8" borderId="1" xfId="0" applyNumberFormat="1" applyFill="1" applyBorder="1"/>
    <xf numFmtId="0" fontId="4" fillId="0" borderId="1" xfId="0" applyFont="1" applyFill="1" applyBorder="1"/>
    <xf numFmtId="10" fontId="0" fillId="8" borderId="1" xfId="6" applyNumberFormat="1" applyFont="1" applyFill="1" applyBorder="1"/>
    <xf numFmtId="2" fontId="4" fillId="10" borderId="0" xfId="0" applyNumberFormat="1" applyFont="1" applyFill="1" applyAlignment="1">
      <alignment horizontal="center"/>
    </xf>
    <xf numFmtId="0" fontId="3" fillId="0" borderId="0" xfId="0" applyFont="1" applyAlignment="1">
      <alignment wrapText="1"/>
    </xf>
    <xf numFmtId="164" fontId="3" fillId="0" borderId="0" xfId="0" applyNumberFormat="1" applyFont="1"/>
    <xf numFmtId="0" fontId="0" fillId="0" borderId="1" xfId="0" applyBorder="1" applyAlignment="1">
      <alignment vertical="center"/>
    </xf>
    <xf numFmtId="0" fontId="4" fillId="8" borderId="1" xfId="0" applyFont="1" applyFill="1" applyBorder="1"/>
    <xf numFmtId="2" fontId="0" fillId="0" borderId="0" xfId="0" applyNumberFormat="1" applyFill="1" applyAlignment="1">
      <alignment horizontal="center"/>
    </xf>
    <xf numFmtId="43" fontId="0" fillId="0" borderId="0" xfId="0" applyNumberFormat="1"/>
  </cellXfs>
  <cellStyles count="7">
    <cellStyle name="Cellule liée" xfId="1" builtinId="24"/>
    <cellStyle name="Entrée" xfId="2" builtinId="20"/>
    <cellStyle name="Milliers" xfId="5" builtinId="3"/>
    <cellStyle name="Normal" xfId="0" builtinId="0"/>
    <cellStyle name="Pourcentage" xfId="6" builtinId="5"/>
    <cellStyle name="Sortie" xfId="3" builtinId="21"/>
    <cellStyle name="Vérification" xfId="4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39"/>
  <sheetViews>
    <sheetView tabSelected="1" workbookViewId="0">
      <selection activeCell="F30" sqref="F30"/>
    </sheetView>
  </sheetViews>
  <sheetFormatPr baseColWidth="10" defaultRowHeight="12.75" x14ac:dyDescent="0.2"/>
  <cols>
    <col min="6" max="6" width="6.7109375" customWidth="1"/>
    <col min="7" max="7" width="8.28515625" customWidth="1"/>
    <col min="8" max="8" width="13.7109375" customWidth="1"/>
    <col min="9" max="9" width="8.85546875" customWidth="1"/>
    <col min="11" max="11" width="14.85546875" customWidth="1"/>
    <col min="13" max="13" width="8.5703125" customWidth="1"/>
    <col min="14" max="14" width="8.42578125" customWidth="1"/>
    <col min="15" max="15" width="9" customWidth="1"/>
    <col min="16" max="16" width="5.7109375" customWidth="1"/>
    <col min="17" max="17" width="5.5703125" customWidth="1"/>
  </cols>
  <sheetData>
    <row r="2" spans="1:14" s="44" customFormat="1" ht="23.25" x14ac:dyDescent="0.35">
      <c r="A2" s="44" t="s">
        <v>40</v>
      </c>
      <c r="H2" s="44" t="s">
        <v>48</v>
      </c>
      <c r="K2" s="44" t="s">
        <v>61</v>
      </c>
    </row>
    <row r="4" spans="1:14" x14ac:dyDescent="0.2">
      <c r="A4" s="79" t="s">
        <v>6</v>
      </c>
      <c r="B4" s="79"/>
      <c r="C4" s="79"/>
      <c r="D4" s="79"/>
      <c r="E4" s="4">
        <v>1.7004146449723441</v>
      </c>
      <c r="H4" s="62">
        <v>1</v>
      </c>
      <c r="I4" s="66">
        <v>1.25</v>
      </c>
      <c r="K4" s="61" t="s">
        <v>62</v>
      </c>
      <c r="L4" s="63">
        <v>10</v>
      </c>
    </row>
    <row r="5" spans="1:14" x14ac:dyDescent="0.2">
      <c r="A5" s="79" t="s">
        <v>41</v>
      </c>
      <c r="B5" s="79"/>
      <c r="C5" s="79"/>
      <c r="D5" s="79"/>
      <c r="E5" s="4">
        <v>1.1255088099999999</v>
      </c>
    </row>
    <row r="6" spans="1:14" ht="25.5" x14ac:dyDescent="0.2">
      <c r="A6" s="67"/>
      <c r="B6" s="67"/>
      <c r="C6" s="67"/>
      <c r="D6" s="67"/>
      <c r="E6" s="68"/>
      <c r="K6" s="71" t="s">
        <v>68</v>
      </c>
      <c r="L6" s="59">
        <v>0.99</v>
      </c>
    </row>
    <row r="7" spans="1:14" x14ac:dyDescent="0.2">
      <c r="A7" s="79" t="s">
        <v>8</v>
      </c>
      <c r="B7" s="79"/>
      <c r="C7" s="79"/>
      <c r="D7" s="79"/>
      <c r="E7" s="4">
        <v>0.11255088099999999</v>
      </c>
    </row>
    <row r="8" spans="1:14" ht="23.25" x14ac:dyDescent="0.35">
      <c r="A8" s="79" t="s">
        <v>42</v>
      </c>
      <c r="B8" s="79"/>
      <c r="C8" s="79"/>
      <c r="D8" s="79"/>
      <c r="E8" s="5">
        <v>8.4413160749999994E-2</v>
      </c>
      <c r="K8" s="44" t="s">
        <v>64</v>
      </c>
      <c r="L8" s="44"/>
      <c r="M8" s="44"/>
      <c r="N8" s="44"/>
    </row>
    <row r="9" spans="1:14" x14ac:dyDescent="0.2">
      <c r="A9" s="79" t="s">
        <v>10</v>
      </c>
      <c r="B9" s="79"/>
      <c r="C9" s="79"/>
      <c r="D9" s="79"/>
      <c r="E9" s="5">
        <v>0.18758480166666663</v>
      </c>
    </row>
    <row r="10" spans="1:14" x14ac:dyDescent="0.2">
      <c r="A10" s="79" t="s">
        <v>43</v>
      </c>
      <c r="B10" s="79"/>
      <c r="C10" s="79"/>
      <c r="D10" s="79"/>
      <c r="E10" s="5">
        <v>5.6275440499999996E-2</v>
      </c>
      <c r="K10" s="61" t="s">
        <v>69</v>
      </c>
      <c r="L10" s="66">
        <f>15.05*1.4</f>
        <v>21.07</v>
      </c>
    </row>
    <row r="11" spans="1:14" x14ac:dyDescent="0.2">
      <c r="K11" s="11" t="s">
        <v>70</v>
      </c>
    </row>
    <row r="12" spans="1:14" x14ac:dyDescent="0.2">
      <c r="A12" s="45" t="s">
        <v>45</v>
      </c>
      <c r="B12" s="46"/>
      <c r="C12" s="46"/>
      <c r="D12" s="47"/>
      <c r="E12" s="5">
        <v>0.9</v>
      </c>
      <c r="K12" s="61" t="s">
        <v>74</v>
      </c>
      <c r="L12" s="66">
        <f>43*1.4</f>
        <v>60.199999999999996</v>
      </c>
    </row>
    <row r="13" spans="1:14" x14ac:dyDescent="0.2">
      <c r="A13" s="45" t="s">
        <v>44</v>
      </c>
      <c r="B13" s="46"/>
      <c r="C13" s="46"/>
      <c r="D13" s="47"/>
      <c r="E13" s="5">
        <v>0.75</v>
      </c>
      <c r="L13" s="66">
        <f>(L10*1000+L12*L16)/N17</f>
        <v>24.08</v>
      </c>
    </row>
    <row r="14" spans="1:14" x14ac:dyDescent="0.2">
      <c r="L14" s="11" t="s">
        <v>72</v>
      </c>
      <c r="M14" s="11" t="s">
        <v>73</v>
      </c>
    </row>
    <row r="15" spans="1:14" x14ac:dyDescent="0.2">
      <c r="A15" s="45" t="s">
        <v>58</v>
      </c>
      <c r="B15" s="46"/>
      <c r="C15" s="46"/>
      <c r="D15" s="47"/>
      <c r="E15" s="59">
        <v>0.8</v>
      </c>
      <c r="K15" s="11" t="s">
        <v>71</v>
      </c>
      <c r="L15">
        <v>350</v>
      </c>
      <c r="M15">
        <v>650</v>
      </c>
      <c r="N15">
        <f>L15+M15</f>
        <v>1000</v>
      </c>
    </row>
    <row r="16" spans="1:14" x14ac:dyDescent="0.2">
      <c r="K16" s="72" t="s">
        <v>72</v>
      </c>
      <c r="L16">
        <f>L17-L15</f>
        <v>83.333333333333314</v>
      </c>
      <c r="N16">
        <f>L16+M16</f>
        <v>83.333333333333314</v>
      </c>
    </row>
    <row r="17" spans="1:14" x14ac:dyDescent="0.2">
      <c r="L17">
        <f>M17/6*4</f>
        <v>433.33333333333331</v>
      </c>
      <c r="M17">
        <f>M15+M16</f>
        <v>650</v>
      </c>
      <c r="N17">
        <f>L17+M17</f>
        <v>1083.3333333333333</v>
      </c>
    </row>
    <row r="18" spans="1:14" ht="23.25" x14ac:dyDescent="0.35">
      <c r="A18" s="44" t="s">
        <v>53</v>
      </c>
      <c r="H18" s="44" t="s">
        <v>75</v>
      </c>
    </row>
    <row r="19" spans="1:14" x14ac:dyDescent="0.2">
      <c r="A19" s="49" t="s">
        <v>49</v>
      </c>
      <c r="B19" s="50"/>
      <c r="C19" s="51">
        <v>24.78</v>
      </c>
      <c r="H19" s="61" t="s">
        <v>76</v>
      </c>
      <c r="I19" s="73">
        <f>9207.3171/4033.89</f>
        <v>2.2824908710946508</v>
      </c>
    </row>
    <row r="20" spans="1:14" x14ac:dyDescent="0.2">
      <c r="A20" s="48" t="s">
        <v>50</v>
      </c>
      <c r="B20" s="47"/>
      <c r="C20" s="51">
        <v>9.41</v>
      </c>
      <c r="H20" s="61" t="s">
        <v>77</v>
      </c>
      <c r="I20" s="73">
        <f>4576.98736/4033.89</f>
        <v>1.1346336563466035</v>
      </c>
    </row>
    <row r="21" spans="1:14" x14ac:dyDescent="0.2">
      <c r="A21" s="48" t="s">
        <v>51</v>
      </c>
      <c r="B21" s="47"/>
      <c r="C21" s="51">
        <v>4.95</v>
      </c>
      <c r="H21" s="74" t="s">
        <v>86</v>
      </c>
      <c r="I21" s="75">
        <v>2.1041089736326474E-2</v>
      </c>
    </row>
    <row r="22" spans="1:14" x14ac:dyDescent="0.2">
      <c r="A22" s="48" t="s">
        <v>52</v>
      </c>
      <c r="B22" s="47"/>
      <c r="C22" s="51">
        <v>2</v>
      </c>
      <c r="H22" s="74" t="s">
        <v>87</v>
      </c>
      <c r="I22" s="75">
        <v>1.0533156511823433E-2</v>
      </c>
    </row>
    <row r="23" spans="1:14" x14ac:dyDescent="0.2">
      <c r="H23" s="74" t="s">
        <v>92</v>
      </c>
      <c r="I23" s="75">
        <v>1.9732138571523523E-2</v>
      </c>
    </row>
    <row r="24" spans="1:14" ht="23.25" x14ac:dyDescent="0.35">
      <c r="A24" s="44" t="s">
        <v>96</v>
      </c>
      <c r="H24" s="74" t="s">
        <v>94</v>
      </c>
      <c r="I24" s="75">
        <v>1.3371609048756896E-2</v>
      </c>
    </row>
    <row r="25" spans="1:14" x14ac:dyDescent="0.2">
      <c r="A25" s="48" t="s">
        <v>50</v>
      </c>
      <c r="B25" s="47"/>
      <c r="C25" s="51">
        <v>1</v>
      </c>
    </row>
    <row r="26" spans="1:14" x14ac:dyDescent="0.2">
      <c r="A26" s="48" t="s">
        <v>51</v>
      </c>
      <c r="B26" s="47"/>
      <c r="C26" s="51">
        <v>0.6</v>
      </c>
    </row>
    <row r="28" spans="1:14" ht="23.25" x14ac:dyDescent="0.35">
      <c r="A28" s="44" t="s">
        <v>97</v>
      </c>
      <c r="J28">
        <v>100</v>
      </c>
      <c r="K28">
        <f>J28*0.5</f>
        <v>50</v>
      </c>
    </row>
    <row r="29" spans="1:14" x14ac:dyDescent="0.2">
      <c r="A29" s="48" t="s">
        <v>50</v>
      </c>
      <c r="B29" s="47"/>
      <c r="C29" s="51">
        <v>1</v>
      </c>
      <c r="J29">
        <v>90</v>
      </c>
      <c r="L29">
        <f>K28/J29</f>
        <v>0.55555555555555558</v>
      </c>
    </row>
    <row r="30" spans="1:14" x14ac:dyDescent="0.2">
      <c r="A30" s="48" t="s">
        <v>51</v>
      </c>
      <c r="B30" s="47"/>
      <c r="C30" s="51">
        <v>0.6</v>
      </c>
      <c r="L30">
        <v>1.5</v>
      </c>
    </row>
    <row r="31" spans="1:14" x14ac:dyDescent="0.2">
      <c r="K31">
        <f>L31*J29/100</f>
        <v>0.85</v>
      </c>
      <c r="L31">
        <f>L30-L29</f>
        <v>0.94444444444444442</v>
      </c>
    </row>
    <row r="32" spans="1:14" ht="23.25" x14ac:dyDescent="0.35">
      <c r="A32" s="44" t="s">
        <v>98</v>
      </c>
    </row>
    <row r="33" spans="1:3" x14ac:dyDescent="0.2">
      <c r="A33" s="48" t="s">
        <v>50</v>
      </c>
      <c r="B33" s="47"/>
      <c r="C33" s="51">
        <v>1</v>
      </c>
    </row>
    <row r="34" spans="1:3" x14ac:dyDescent="0.2">
      <c r="A34" s="48" t="s">
        <v>51</v>
      </c>
      <c r="B34" s="47"/>
      <c r="C34" s="51">
        <v>0.6</v>
      </c>
    </row>
    <row r="37" spans="1:3" ht="23.25" x14ac:dyDescent="0.35">
      <c r="A37" s="44" t="s">
        <v>109</v>
      </c>
    </row>
    <row r="38" spans="1:3" x14ac:dyDescent="0.2">
      <c r="A38" s="48" t="s">
        <v>50</v>
      </c>
      <c r="B38" s="47"/>
      <c r="C38" s="51">
        <v>0</v>
      </c>
    </row>
    <row r="39" spans="1:3" x14ac:dyDescent="0.2">
      <c r="A39" s="48" t="s">
        <v>51</v>
      </c>
      <c r="B39" s="47"/>
      <c r="C39" s="80">
        <f>1.5*2.2</f>
        <v>3.3000000000000003</v>
      </c>
    </row>
  </sheetData>
  <mergeCells count="6">
    <mergeCell ref="A10:D10"/>
    <mergeCell ref="A4:D4"/>
    <mergeCell ref="A5:D5"/>
    <mergeCell ref="A7:D7"/>
    <mergeCell ref="A8:D8"/>
    <mergeCell ref="A9:D9"/>
  </mergeCells>
  <phoneticPr fontId="1" type="noConversion"/>
  <pageMargins left="0.78740157499999996" right="0.78740157499999996" top="0.984251969" bottom="0.984251969" header="0.4921259845" footer="0.4921259845"/>
  <pageSetup orientation="portrait" horizontalDpi="1200" vertic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opLeftCell="A4" workbookViewId="0">
      <selection activeCell="L4" sqref="L4"/>
    </sheetView>
  </sheetViews>
  <sheetFormatPr baseColWidth="10" defaultRowHeight="12.75" x14ac:dyDescent="0.2"/>
  <cols>
    <col min="3" max="3" width="14.5703125" customWidth="1"/>
    <col min="4" max="4" width="12.28515625" customWidth="1"/>
    <col min="11" max="11" width="20.85546875" customWidth="1"/>
  </cols>
  <sheetData>
    <row r="1" spans="1:14" x14ac:dyDescent="0.2">
      <c r="A1" s="9" t="s">
        <v>66</v>
      </c>
    </row>
    <row r="2" spans="1:14" s="53" customFormat="1" ht="31.5" x14ac:dyDescent="0.25">
      <c r="B2" s="54" t="s">
        <v>54</v>
      </c>
      <c r="C2" s="55" t="s">
        <v>56</v>
      </c>
      <c r="D2" s="55" t="s">
        <v>55</v>
      </c>
      <c r="K2" s="53" t="s">
        <v>101</v>
      </c>
    </row>
    <row r="3" spans="1:14" x14ac:dyDescent="0.2">
      <c r="A3" t="s">
        <v>0</v>
      </c>
      <c r="B3" s="2">
        <v>0</v>
      </c>
      <c r="C3">
        <f>pxrcmassif</f>
        <v>1</v>
      </c>
      <c r="D3" s="56">
        <f>B3*C3</f>
        <v>0</v>
      </c>
      <c r="G3" s="2"/>
    </row>
    <row r="4" spans="1:14" x14ac:dyDescent="0.2">
      <c r="A4" t="s">
        <v>1</v>
      </c>
      <c r="B4" s="2">
        <v>0</v>
      </c>
      <c r="C4">
        <f>pxrccopeau</f>
        <v>0.6</v>
      </c>
      <c r="D4" s="56">
        <f>B4*C4</f>
        <v>0</v>
      </c>
      <c r="G4" s="2"/>
      <c r="K4" s="11" t="s">
        <v>95</v>
      </c>
      <c r="L4" s="3">
        <f>'Calcul Devis 100% Chutes'!AD12</f>
        <v>15.070731262154128</v>
      </c>
      <c r="N4" t="s">
        <v>100</v>
      </c>
    </row>
    <row r="5" spans="1:14" x14ac:dyDescent="0.2">
      <c r="A5" t="s">
        <v>13</v>
      </c>
      <c r="B5" s="52">
        <f>B3+B4</f>
        <v>0</v>
      </c>
      <c r="D5" s="52">
        <f>D3+D4</f>
        <v>0</v>
      </c>
      <c r="G5" s="52"/>
      <c r="K5" s="11" t="s">
        <v>99</v>
      </c>
      <c r="L5" s="3">
        <f>'Calcul Devis 100% Chutes'!AD10</f>
        <v>4034.6618741236239</v>
      </c>
    </row>
    <row r="6" spans="1:14" x14ac:dyDescent="0.2">
      <c r="D6" s="57"/>
    </row>
    <row r="7" spans="1:14" x14ac:dyDescent="0.2">
      <c r="A7" s="9" t="s">
        <v>38</v>
      </c>
      <c r="D7" s="57"/>
    </row>
    <row r="8" spans="1:14" ht="15.75" x14ac:dyDescent="0.25">
      <c r="B8" s="1" t="s">
        <v>2</v>
      </c>
      <c r="D8" s="57"/>
      <c r="G8" s="1"/>
      <c r="K8" s="53" t="s">
        <v>102</v>
      </c>
    </row>
    <row r="9" spans="1:14" x14ac:dyDescent="0.2">
      <c r="A9" t="s">
        <v>0</v>
      </c>
      <c r="B9" s="2">
        <v>0</v>
      </c>
      <c r="C9">
        <f>pxrciamassif</f>
        <v>1</v>
      </c>
      <c r="D9" s="56">
        <f>B9*C9</f>
        <v>0</v>
      </c>
      <c r="G9" s="2"/>
      <c r="K9" t="s">
        <v>103</v>
      </c>
      <c r="L9" s="3" t="e">
        <f>#REF!</f>
        <v>#REF!</v>
      </c>
    </row>
    <row r="10" spans="1:14" x14ac:dyDescent="0.2">
      <c r="A10" t="s">
        <v>1</v>
      </c>
      <c r="B10" s="2">
        <v>0</v>
      </c>
      <c r="C10">
        <f>pxrciacopeau</f>
        <v>0.6</v>
      </c>
      <c r="D10" s="56">
        <f>B10*C10</f>
        <v>0</v>
      </c>
      <c r="G10" s="2"/>
      <c r="K10" t="s">
        <v>105</v>
      </c>
      <c r="L10" s="42" t="e">
        <f>#REF!</f>
        <v>#REF!</v>
      </c>
    </row>
    <row r="11" spans="1:14" x14ac:dyDescent="0.2">
      <c r="A11" t="s">
        <v>13</v>
      </c>
      <c r="B11" s="52">
        <f>B9+B10</f>
        <v>0</v>
      </c>
      <c r="D11" s="52">
        <f>D9+D10</f>
        <v>0</v>
      </c>
      <c r="G11" s="52"/>
      <c r="K11" t="s">
        <v>104</v>
      </c>
      <c r="L11">
        <f>pxmarlingot</f>
        <v>24.78</v>
      </c>
    </row>
    <row r="12" spans="1:14" x14ac:dyDescent="0.2">
      <c r="D12" s="57"/>
      <c r="K12" t="s">
        <v>106</v>
      </c>
      <c r="L12" s="42" t="e">
        <f>L5-L10</f>
        <v>#REF!</v>
      </c>
    </row>
    <row r="13" spans="1:14" x14ac:dyDescent="0.2">
      <c r="A13" s="9" t="s">
        <v>39</v>
      </c>
      <c r="D13" s="57"/>
      <c r="K13" t="s">
        <v>107</v>
      </c>
      <c r="L13" s="3" t="e">
        <f>(L9*L10+L11*L12)/L14</f>
        <v>#REF!</v>
      </c>
    </row>
    <row r="14" spans="1:14" x14ac:dyDescent="0.2">
      <c r="B14" s="1" t="s">
        <v>2</v>
      </c>
      <c r="D14" s="57"/>
      <c r="G14" s="1"/>
      <c r="K14" t="s">
        <v>108</v>
      </c>
      <c r="L14" s="42" t="e">
        <f>L12+L10</f>
        <v>#REF!</v>
      </c>
    </row>
    <row r="15" spans="1:14" x14ac:dyDescent="0.2">
      <c r="A15" t="s">
        <v>0</v>
      </c>
      <c r="B15" s="2">
        <v>0</v>
      </c>
      <c r="C15">
        <f>pxnegmassif</f>
        <v>1</v>
      </c>
      <c r="D15" s="56">
        <f>B15*C15</f>
        <v>0</v>
      </c>
      <c r="G15" s="2"/>
    </row>
    <row r="16" spans="1:14" x14ac:dyDescent="0.2">
      <c r="A16" t="s">
        <v>1</v>
      </c>
      <c r="B16" s="2">
        <v>0</v>
      </c>
      <c r="C16">
        <f>pxnegcopeau</f>
        <v>0.6</v>
      </c>
      <c r="D16" s="56">
        <f>B16*C16</f>
        <v>0</v>
      </c>
      <c r="G16" s="2"/>
    </row>
    <row r="17" spans="1:7" x14ac:dyDescent="0.2">
      <c r="A17" t="s">
        <v>13</v>
      </c>
      <c r="B17" s="52">
        <f>B15+B16</f>
        <v>0</v>
      </c>
      <c r="D17" s="52">
        <f>D15+D16</f>
        <v>0</v>
      </c>
      <c r="G17" s="52"/>
    </row>
    <row r="18" spans="1:7" x14ac:dyDescent="0.2">
      <c r="B18" s="2"/>
      <c r="D18" s="57"/>
      <c r="G18" s="2"/>
    </row>
    <row r="19" spans="1:7" x14ac:dyDescent="0.2">
      <c r="A19" s="9" t="s">
        <v>4</v>
      </c>
      <c r="D19" s="57"/>
    </row>
    <row r="20" spans="1:7" x14ac:dyDescent="0.2">
      <c r="B20" s="1" t="s">
        <v>2</v>
      </c>
      <c r="D20" s="57"/>
      <c r="G20" s="1"/>
    </row>
    <row r="21" spans="1:7" x14ac:dyDescent="0.2">
      <c r="A21" t="s">
        <v>0</v>
      </c>
      <c r="B21" s="2">
        <v>0</v>
      </c>
      <c r="C21">
        <f>pxmarmassif</f>
        <v>9.41</v>
      </c>
      <c r="D21" s="56">
        <f>B21*C21</f>
        <v>0</v>
      </c>
      <c r="G21" s="2"/>
    </row>
    <row r="22" spans="1:7" x14ac:dyDescent="0.2">
      <c r="A22" t="s">
        <v>1</v>
      </c>
      <c r="B22" s="2">
        <v>0</v>
      </c>
      <c r="C22">
        <f>pxmarcopeau</f>
        <v>4.95</v>
      </c>
      <c r="D22" s="56">
        <f>B22*C22</f>
        <v>0</v>
      </c>
      <c r="G22" s="2"/>
    </row>
    <row r="23" spans="1:7" x14ac:dyDescent="0.2">
      <c r="A23" t="s">
        <v>13</v>
      </c>
      <c r="B23" s="52">
        <f>B21+B22</f>
        <v>0</v>
      </c>
      <c r="D23" s="52">
        <f>D21+D22</f>
        <v>0</v>
      </c>
      <c r="G23" s="52"/>
    </row>
    <row r="26" spans="1:7" x14ac:dyDescent="0.2">
      <c r="A26" s="9" t="s">
        <v>111</v>
      </c>
    </row>
    <row r="27" spans="1:7" x14ac:dyDescent="0.2">
      <c r="B27" s="1" t="s">
        <v>2</v>
      </c>
    </row>
    <row r="28" spans="1:7" x14ac:dyDescent="0.2">
      <c r="A28" t="s">
        <v>35</v>
      </c>
      <c r="B28" s="52">
        <f>B3+B9+B15+B21</f>
        <v>0</v>
      </c>
      <c r="C28" s="60" t="e">
        <f>B28/B30</f>
        <v>#DIV/0!</v>
      </c>
      <c r="D28" s="58">
        <f>D3+D9+D15+D21</f>
        <v>0</v>
      </c>
    </row>
    <row r="29" spans="1:7" x14ac:dyDescent="0.2">
      <c r="A29" t="s">
        <v>36</v>
      </c>
      <c r="B29" s="52">
        <f>B4+B10+B16+B22</f>
        <v>0</v>
      </c>
      <c r="C29" s="60" t="e">
        <f>B29/B30</f>
        <v>#DIV/0!</v>
      </c>
      <c r="D29" s="58">
        <f>D4+D10+D16+D22</f>
        <v>0</v>
      </c>
    </row>
    <row r="30" spans="1:7" x14ac:dyDescent="0.2">
      <c r="A30" t="s">
        <v>37</v>
      </c>
      <c r="B30" s="52">
        <f>B28+B29</f>
        <v>0</v>
      </c>
      <c r="D30" s="52">
        <f>D28+D29</f>
        <v>0</v>
      </c>
      <c r="G30" s="52"/>
    </row>
    <row r="33" spans="1:4" x14ac:dyDescent="0.2">
      <c r="A33" s="9" t="s">
        <v>112</v>
      </c>
    </row>
    <row r="34" spans="1:4" x14ac:dyDescent="0.2">
      <c r="B34" s="1" t="s">
        <v>2</v>
      </c>
    </row>
    <row r="35" spans="1:4" x14ac:dyDescent="0.2">
      <c r="A35" t="s">
        <v>35</v>
      </c>
      <c r="B35" s="52">
        <f>B28-B21</f>
        <v>0</v>
      </c>
      <c r="D35" s="58">
        <f>D28-D21</f>
        <v>0</v>
      </c>
    </row>
    <row r="36" spans="1:4" x14ac:dyDescent="0.2">
      <c r="A36" t="s">
        <v>36</v>
      </c>
      <c r="B36" s="52">
        <f>B29-B22</f>
        <v>0</v>
      </c>
      <c r="D36" s="58">
        <f>D29-D22</f>
        <v>0</v>
      </c>
    </row>
    <row r="37" spans="1:4" x14ac:dyDescent="0.2">
      <c r="A37" t="s">
        <v>37</v>
      </c>
      <c r="B37" s="52">
        <f>B35+B36</f>
        <v>0</v>
      </c>
      <c r="D37" s="52">
        <f>D35+D36</f>
        <v>0</v>
      </c>
    </row>
    <row r="40" spans="1:4" x14ac:dyDescent="0.2">
      <c r="A40" s="9" t="s">
        <v>110</v>
      </c>
    </row>
    <row r="41" spans="1:4" x14ac:dyDescent="0.2">
      <c r="B41" s="1" t="s">
        <v>2</v>
      </c>
    </row>
    <row r="42" spans="1:4" x14ac:dyDescent="0.2">
      <c r="A42" t="s">
        <v>35</v>
      </c>
      <c r="B42" s="81"/>
      <c r="C42">
        <v>0</v>
      </c>
      <c r="D42" s="56">
        <f>B42*C42</f>
        <v>0</v>
      </c>
    </row>
    <row r="43" spans="1:4" x14ac:dyDescent="0.2">
      <c r="A43" t="s">
        <v>36</v>
      </c>
      <c r="B43" s="81">
        <f>100/116.5*4034</f>
        <v>3462.6609442060085</v>
      </c>
      <c r="C43">
        <f>pxcoptrait</f>
        <v>3.3000000000000003</v>
      </c>
      <c r="D43" s="56">
        <f>B43*C43</f>
        <v>11426.781115879829</v>
      </c>
    </row>
    <row r="44" spans="1:4" x14ac:dyDescent="0.2">
      <c r="A44" t="s">
        <v>37</v>
      </c>
      <c r="B44" s="52">
        <f>B42+B43</f>
        <v>3462.6609442060085</v>
      </c>
      <c r="D44" s="52">
        <f>D42+D43</f>
        <v>11426.781115879829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58"/>
  <sheetViews>
    <sheetView topLeftCell="L1" workbookViewId="0">
      <selection activeCell="X31" sqref="X31"/>
    </sheetView>
  </sheetViews>
  <sheetFormatPr baseColWidth="10" defaultRowHeight="12.75" x14ac:dyDescent="0.2"/>
  <cols>
    <col min="1" max="1" width="16" customWidth="1"/>
    <col min="2" max="2" width="8.7109375" bestFit="1" customWidth="1"/>
    <col min="3" max="3" width="8.5703125" bestFit="1" customWidth="1"/>
    <col min="4" max="4" width="5.42578125" customWidth="1"/>
    <col min="5" max="5" width="8.5703125" customWidth="1"/>
    <col min="6" max="6" width="10.28515625" customWidth="1"/>
    <col min="7" max="7" width="11.7109375" customWidth="1"/>
    <col min="8" max="8" width="10.5703125" customWidth="1"/>
    <col min="9" max="9" width="7.42578125" customWidth="1"/>
    <col min="10" max="10" width="8.85546875" customWidth="1"/>
    <col min="11" max="11" width="8.5703125" customWidth="1"/>
    <col min="12" max="12" width="9.7109375" customWidth="1"/>
    <col min="13" max="13" width="4.28515625" customWidth="1"/>
    <col min="14" max="14" width="16.85546875" customWidth="1"/>
    <col min="15" max="15" width="7.5703125" bestFit="1" customWidth="1"/>
    <col min="16" max="16" width="12.5703125" customWidth="1"/>
    <col min="17" max="17" width="4.140625" customWidth="1"/>
    <col min="18" max="18" width="8.28515625" customWidth="1"/>
    <col min="19" max="19" width="8.5703125" bestFit="1" customWidth="1"/>
    <col min="20" max="20" width="4.7109375" customWidth="1"/>
    <col min="21" max="21" width="8.5703125" customWidth="1"/>
    <col min="22" max="22" width="7.5703125" bestFit="1" customWidth="1"/>
    <col min="23" max="23" width="4.140625" customWidth="1"/>
    <col min="24" max="24" width="13.140625" customWidth="1"/>
    <col min="25" max="26" width="7.7109375" customWidth="1"/>
    <col min="27" max="27" width="7.5703125" bestFit="1" customWidth="1"/>
    <col min="28" max="28" width="4.42578125" customWidth="1"/>
    <col min="29" max="29" width="26" customWidth="1"/>
    <col min="30" max="30" width="9.5703125" bestFit="1" customWidth="1"/>
  </cols>
  <sheetData>
    <row r="1" spans="1:31" ht="26.25" x14ac:dyDescent="0.4">
      <c r="A1" s="8" t="s">
        <v>20</v>
      </c>
    </row>
    <row r="2" spans="1:31" x14ac:dyDescent="0.2">
      <c r="S2">
        <f>S8/1.4</f>
        <v>8222.3918711078641</v>
      </c>
    </row>
    <row r="3" spans="1:31" x14ac:dyDescent="0.2">
      <c r="P3" s="2"/>
    </row>
    <row r="6" spans="1:31" x14ac:dyDescent="0.2">
      <c r="A6" s="9" t="s">
        <v>37</v>
      </c>
      <c r="D6" s="10"/>
      <c r="E6" s="9" t="s">
        <v>5</v>
      </c>
      <c r="F6" s="9"/>
      <c r="I6" s="10"/>
      <c r="J6" s="9" t="s">
        <v>12</v>
      </c>
      <c r="M6" s="10"/>
      <c r="N6" s="9" t="s">
        <v>23</v>
      </c>
      <c r="Q6" s="10"/>
      <c r="R6" s="9" t="s">
        <v>14</v>
      </c>
      <c r="T6" s="10"/>
      <c r="U6" s="9" t="s">
        <v>16</v>
      </c>
      <c r="W6" s="10"/>
      <c r="X6" s="9" t="s">
        <v>17</v>
      </c>
      <c r="Y6" s="9"/>
      <c r="Z6" s="9"/>
      <c r="AB6" s="10"/>
      <c r="AC6" s="9" t="s">
        <v>18</v>
      </c>
    </row>
    <row r="7" spans="1:31" x14ac:dyDescent="0.2">
      <c r="B7" s="1" t="s">
        <v>2</v>
      </c>
      <c r="C7" s="1" t="s">
        <v>3</v>
      </c>
      <c r="D7" s="10"/>
      <c r="F7" s="1" t="s">
        <v>34</v>
      </c>
      <c r="G7" s="1" t="s">
        <v>2</v>
      </c>
      <c r="H7" s="1" t="s">
        <v>3</v>
      </c>
      <c r="I7" s="10"/>
      <c r="K7" s="1" t="s">
        <v>2</v>
      </c>
      <c r="L7" s="1" t="s">
        <v>3</v>
      </c>
      <c r="M7" s="10"/>
      <c r="O7" s="1" t="s">
        <v>2</v>
      </c>
      <c r="P7" s="1" t="s">
        <v>3</v>
      </c>
      <c r="Q7" s="10"/>
      <c r="S7" s="1" t="s">
        <v>3</v>
      </c>
      <c r="T7" s="10"/>
      <c r="V7" s="1" t="s">
        <v>3</v>
      </c>
      <c r="W7" s="10"/>
      <c r="Y7" t="s">
        <v>89</v>
      </c>
      <c r="Z7" s="11" t="s">
        <v>88</v>
      </c>
      <c r="AA7" s="1" t="s">
        <v>3</v>
      </c>
      <c r="AB7" s="10"/>
      <c r="AD7" s="1" t="s">
        <v>3</v>
      </c>
    </row>
    <row r="8" spans="1:31" x14ac:dyDescent="0.2">
      <c r="A8" t="s">
        <v>35</v>
      </c>
      <c r="B8" s="42">
        <f>Matières!B28</f>
        <v>0</v>
      </c>
      <c r="C8" s="42">
        <f>Matières!D28</f>
        <v>0</v>
      </c>
      <c r="D8" s="10"/>
      <c r="E8" s="11" t="s">
        <v>46</v>
      </c>
      <c r="F8" s="3">
        <f>Rdtmassifs</f>
        <v>0.9</v>
      </c>
      <c r="G8" s="2">
        <f>F8*B8</f>
        <v>0</v>
      </c>
      <c r="H8" s="2">
        <f>((G8/F8)*(I29+I31)+(G8*I33))*parite</f>
        <v>0</v>
      </c>
      <c r="I8" s="10"/>
      <c r="J8" t="s">
        <v>0</v>
      </c>
      <c r="K8" s="2">
        <f>tmassifs-G8</f>
        <v>0</v>
      </c>
      <c r="L8" s="1"/>
      <c r="M8" s="10"/>
      <c r="N8" s="11" t="s">
        <v>59</v>
      </c>
      <c r="O8" s="2">
        <f>O12*0.9/O14</f>
        <v>786.96839641045642</v>
      </c>
      <c r="P8">
        <f>O8*pxeponge</f>
        <v>7869.6839641045644</v>
      </c>
      <c r="Q8" s="10"/>
      <c r="R8" t="s">
        <v>15</v>
      </c>
      <c r="S8" s="2">
        <f>cdfusion*AD10*parite</f>
        <v>11511.348619551009</v>
      </c>
      <c r="T8" s="10"/>
      <c r="U8" t="s">
        <v>15</v>
      </c>
      <c r="V8" s="2">
        <f>fgxfusion*AD10*parite</f>
        <v>5722.3289429489087</v>
      </c>
      <c r="W8" s="10"/>
      <c r="X8" s="11" t="s">
        <v>84</v>
      </c>
      <c r="Z8" s="3">
        <f>G10+O12+O17</f>
        <v>4328.3261802575107</v>
      </c>
      <c r="AB8" s="10"/>
      <c r="AC8" t="s">
        <v>15</v>
      </c>
      <c r="AD8" s="2"/>
    </row>
    <row r="9" spans="1:31" x14ac:dyDescent="0.2">
      <c r="A9" t="s">
        <v>36</v>
      </c>
      <c r="B9" s="42">
        <f>Matières!B29</f>
        <v>0</v>
      </c>
      <c r="C9" s="42">
        <f>Matières!D29</f>
        <v>0</v>
      </c>
      <c r="D9" s="10"/>
      <c r="E9" t="s">
        <v>1</v>
      </c>
      <c r="F9">
        <f>Rdtcopeaux</f>
        <v>0.75</v>
      </c>
      <c r="G9" s="2">
        <f>F9*B9</f>
        <v>0</v>
      </c>
      <c r="H9" s="2">
        <f>((G9/F9)*(I28+I30)+G9*I32)*parite</f>
        <v>0</v>
      </c>
      <c r="I9" s="10"/>
      <c r="J9" t="s">
        <v>1</v>
      </c>
      <c r="K9" s="2">
        <f>tcopeaux-G9</f>
        <v>0</v>
      </c>
      <c r="L9" s="1"/>
      <c r="M9" s="10"/>
      <c r="O9" s="1"/>
      <c r="P9" s="1"/>
      <c r="Q9" s="10"/>
      <c r="T9" s="10"/>
      <c r="W9" s="10"/>
      <c r="X9" s="11" t="s">
        <v>85</v>
      </c>
      <c r="Y9">
        <f>Z8*0.005</f>
        <v>21.641630901287552</v>
      </c>
      <c r="Z9" s="3">
        <f>Z8-Y9</f>
        <v>4306.6845493562232</v>
      </c>
      <c r="AB9" s="10"/>
    </row>
    <row r="10" spans="1:31" x14ac:dyDescent="0.2">
      <c r="A10" t="s">
        <v>37</v>
      </c>
      <c r="B10" s="2">
        <f>Matières!B30</f>
        <v>0</v>
      </c>
      <c r="C10" s="2">
        <f>Matières!D30</f>
        <v>0</v>
      </c>
      <c r="D10" s="10"/>
      <c r="E10" t="s">
        <v>13</v>
      </c>
      <c r="G10" s="2">
        <f>SUM(G8:G9)</f>
        <v>0</v>
      </c>
      <c r="H10" s="2">
        <f>SUM(H8:H9)</f>
        <v>0</v>
      </c>
      <c r="I10" s="10"/>
      <c r="J10" t="s">
        <v>13</v>
      </c>
      <c r="K10" s="2">
        <f>SUM(K8:K9)</f>
        <v>0</v>
      </c>
      <c r="L10">
        <f>K10*krecup*pxmarferroti</f>
        <v>0</v>
      </c>
      <c r="M10" s="10"/>
      <c r="N10" s="11" t="s">
        <v>60</v>
      </c>
      <c r="O10">
        <f>O12*0.1</f>
        <v>86.566523605150223</v>
      </c>
      <c r="P10">
        <f>O10*pxmasteral</f>
        <v>2084.5218884120172</v>
      </c>
      <c r="Q10" s="10"/>
      <c r="T10" s="10"/>
      <c r="W10" s="10"/>
      <c r="X10" s="11" t="s">
        <v>90</v>
      </c>
      <c r="Y10">
        <f>Z9*ruplasma</f>
        <v>90.617336069055042</v>
      </c>
      <c r="Z10" s="3">
        <f>Z9-Y10</f>
        <v>4216.0672132871678</v>
      </c>
      <c r="AB10" s="10"/>
      <c r="AC10" t="s">
        <v>21</v>
      </c>
      <c r="AD10" s="3">
        <f>Z13</f>
        <v>4034.6618741236239</v>
      </c>
    </row>
    <row r="11" spans="1:31" x14ac:dyDescent="0.2">
      <c r="D11" s="10"/>
      <c r="I11" s="10"/>
      <c r="K11" s="3"/>
      <c r="M11" s="10"/>
      <c r="Q11" s="10"/>
      <c r="T11" s="10"/>
      <c r="W11" s="10"/>
      <c r="X11" s="11" t="s">
        <v>91</v>
      </c>
      <c r="Y11">
        <f>ruvar*Z10</f>
        <v>44.408495821921008</v>
      </c>
      <c r="Z11" s="3">
        <f>Z10-Y11</f>
        <v>4171.6587174652468</v>
      </c>
      <c r="AB11" s="10"/>
    </row>
    <row r="12" spans="1:31" x14ac:dyDescent="0.2">
      <c r="A12" s="9"/>
      <c r="D12" s="10"/>
      <c r="I12" s="10"/>
      <c r="J12" s="11" t="s">
        <v>57</v>
      </c>
      <c r="L12" s="60">
        <f>krecup</f>
        <v>0.8</v>
      </c>
      <c r="M12" s="10"/>
      <c r="N12" s="11" t="s">
        <v>63</v>
      </c>
      <c r="O12" s="3">
        <f>(O17+G10)*0.25</f>
        <v>865.66523605150212</v>
      </c>
      <c r="P12">
        <f>P10+P8</f>
        <v>9954.2058525165812</v>
      </c>
      <c r="Q12" s="10"/>
      <c r="T12" s="10"/>
      <c r="W12" s="10"/>
      <c r="X12" s="11" t="s">
        <v>33</v>
      </c>
      <c r="Y12">
        <f>Z11*pertegalette</f>
        <v>82.315747886128349</v>
      </c>
      <c r="Z12" s="3">
        <f>Z11-Y12</f>
        <v>4089.3429695791183</v>
      </c>
      <c r="AB12" s="10"/>
      <c r="AC12" s="11" t="s">
        <v>78</v>
      </c>
      <c r="AD12" s="7">
        <f>AD23+AE23</f>
        <v>15.070731262154128</v>
      </c>
      <c r="AE12" t="s">
        <v>22</v>
      </c>
    </row>
    <row r="13" spans="1:31" x14ac:dyDescent="0.2">
      <c r="B13" s="1"/>
      <c r="C13" s="1"/>
      <c r="D13" s="10"/>
      <c r="I13" s="10"/>
      <c r="M13" s="10"/>
      <c r="Q13" s="10"/>
      <c r="T13" s="10"/>
      <c r="W13" s="10"/>
      <c r="X13" s="11" t="s">
        <v>93</v>
      </c>
      <c r="Y13">
        <f>Z12*perteecroutage</f>
        <v>54.681095455494535</v>
      </c>
      <c r="Z13" s="3">
        <f>Z12-Y13</f>
        <v>4034.6618741236239</v>
      </c>
      <c r="AB13" s="10"/>
    </row>
    <row r="14" spans="1:31" x14ac:dyDescent="0.2">
      <c r="B14" s="2"/>
      <c r="C14" s="2"/>
      <c r="D14" s="10"/>
      <c r="G14" s="43"/>
      <c r="I14" s="10"/>
      <c r="J14" s="11" t="s">
        <v>19</v>
      </c>
      <c r="K14">
        <f>K10*L12</f>
        <v>0</v>
      </c>
      <c r="L14">
        <f>K14*pxmarferroti</f>
        <v>0</v>
      </c>
      <c r="M14" s="10"/>
      <c r="N14" s="11" t="s">
        <v>67</v>
      </c>
      <c r="O14" s="60">
        <f>partepongex</f>
        <v>0.99</v>
      </c>
      <c r="Q14" s="10"/>
      <c r="T14" s="10"/>
      <c r="W14" s="10"/>
      <c r="X14" s="11"/>
      <c r="AB14" s="10"/>
      <c r="AD14" s="65">
        <f>C25+H25+L25+P25+S25+V25+AA25</f>
        <v>9.4628569733163062</v>
      </c>
    </row>
    <row r="15" spans="1:31" x14ac:dyDescent="0.2">
      <c r="B15" s="2"/>
      <c r="C15" s="2"/>
      <c r="D15" s="10"/>
      <c r="G15" s="3"/>
      <c r="I15" s="10"/>
      <c r="M15" s="10"/>
      <c r="O15" s="3"/>
      <c r="Q15" s="10"/>
      <c r="T15" s="10"/>
      <c r="W15" s="10"/>
      <c r="X15" s="11"/>
      <c r="AB15" s="10"/>
    </row>
    <row r="16" spans="1:31" x14ac:dyDescent="0.2">
      <c r="B16" s="2"/>
      <c r="C16" s="2"/>
      <c r="D16" s="10"/>
      <c r="G16" s="3"/>
      <c r="I16" s="10"/>
      <c r="M16" s="10"/>
      <c r="N16" s="11" t="s">
        <v>113</v>
      </c>
      <c r="Q16" s="10"/>
      <c r="T16" s="10"/>
      <c r="W16" s="10"/>
      <c r="AB16" s="10"/>
      <c r="AD16">
        <v>0.93215373971161697</v>
      </c>
    </row>
    <row r="17" spans="1:33" x14ac:dyDescent="0.2">
      <c r="D17" s="10"/>
      <c r="I17" s="10"/>
      <c r="M17" s="10"/>
      <c r="N17" s="2"/>
      <c r="O17" s="3">
        <f>Matières!B43</f>
        <v>3462.6609442060085</v>
      </c>
      <c r="P17" s="82">
        <f>Matières!D43</f>
        <v>11426.781115879829</v>
      </c>
      <c r="Q17" s="10"/>
      <c r="T17" s="10"/>
      <c r="W17" s="10"/>
      <c r="X17" t="s">
        <v>24</v>
      </c>
      <c r="Y17" s="11">
        <f>SUM(Y10:Y13)</f>
        <v>272.02267523259894</v>
      </c>
      <c r="AB17" s="10"/>
    </row>
    <row r="18" spans="1:33" x14ac:dyDescent="0.2">
      <c r="A18" s="9"/>
      <c r="D18" s="10"/>
      <c r="I18" s="10"/>
      <c r="M18" s="10"/>
      <c r="Q18" s="10"/>
      <c r="T18" s="10"/>
      <c r="W18" s="10"/>
      <c r="X18" s="11" t="s">
        <v>57</v>
      </c>
      <c r="Y18" s="60">
        <f>krecup</f>
        <v>0.8</v>
      </c>
      <c r="Z18" s="64"/>
      <c r="AB18" s="10"/>
      <c r="AC18" s="3">
        <f>G10+O12</f>
        <v>865.66523605150212</v>
      </c>
      <c r="AD18">
        <f>AD10/AC18</f>
        <v>4.6607645843867349</v>
      </c>
    </row>
    <row r="19" spans="1:33" x14ac:dyDescent="0.2">
      <c r="B19" s="1"/>
      <c r="C19" s="1"/>
      <c r="D19" s="10"/>
      <c r="I19" s="10"/>
      <c r="M19" s="10"/>
      <c r="Q19" s="10"/>
      <c r="T19" s="10"/>
      <c r="W19" s="10"/>
      <c r="X19" t="s">
        <v>15</v>
      </c>
      <c r="Y19" s="3">
        <f>Y17*Y18</f>
        <v>217.61814018607916</v>
      </c>
      <c r="Z19" s="3"/>
      <c r="AA19" s="76">
        <f>Y19*pxmarferroti</f>
        <v>435.23628037215832</v>
      </c>
      <c r="AB19" s="10"/>
    </row>
    <row r="20" spans="1:33" x14ac:dyDescent="0.2">
      <c r="B20" s="2"/>
      <c r="C20" s="2"/>
      <c r="D20" s="10"/>
      <c r="I20" s="10"/>
      <c r="M20" s="10"/>
      <c r="Q20" s="10"/>
      <c r="T20" s="10"/>
      <c r="W20" s="10"/>
      <c r="AB20" s="10"/>
      <c r="AC20" s="11" t="s">
        <v>65</v>
      </c>
      <c r="AD20" s="65">
        <f>AD12-AD14</f>
        <v>5.6078742888378219</v>
      </c>
    </row>
    <row r="21" spans="1:33" x14ac:dyDescent="0.2">
      <c r="B21" s="2"/>
      <c r="C21" s="2"/>
      <c r="D21" s="10"/>
      <c r="I21" s="10"/>
      <c r="M21" s="10"/>
      <c r="Q21" s="10"/>
      <c r="T21" s="10"/>
      <c r="W21" s="10"/>
      <c r="Y21" s="3"/>
      <c r="Z21" s="3"/>
      <c r="AB21" s="10"/>
    </row>
    <row r="22" spans="1:33" x14ac:dyDescent="0.2">
      <c r="B22" s="2"/>
      <c r="C22" s="2"/>
      <c r="D22" s="10"/>
      <c r="I22" s="10"/>
      <c r="M22" s="10"/>
      <c r="Q22" s="10"/>
      <c r="T22" s="10"/>
      <c r="W22" s="10"/>
      <c r="AB22" s="10"/>
      <c r="AF22" s="11" t="s">
        <v>82</v>
      </c>
      <c r="AG22" s="11" t="s">
        <v>83</v>
      </c>
    </row>
    <row r="23" spans="1:33" ht="25.5" x14ac:dyDescent="0.2">
      <c r="B23" s="2"/>
      <c r="C23" s="2"/>
      <c r="D23" s="10"/>
      <c r="I23" s="10"/>
      <c r="M23" s="10"/>
      <c r="Q23" s="10"/>
      <c r="T23" s="10"/>
      <c r="W23" s="10"/>
      <c r="AB23" s="10"/>
      <c r="AC23" s="77" t="s">
        <v>79</v>
      </c>
      <c r="AD23" s="78">
        <f>C25+H25+P25+S25+V25</f>
        <v>9.5707312621541281</v>
      </c>
      <c r="AE23" s="65">
        <v>5.5</v>
      </c>
      <c r="AF23" s="78">
        <f>AE23</f>
        <v>5.5</v>
      </c>
      <c r="AG23">
        <f>AF23/parite</f>
        <v>4.4000000000000004</v>
      </c>
    </row>
    <row r="24" spans="1:33" x14ac:dyDescent="0.2">
      <c r="A24" s="9"/>
      <c r="D24" s="10"/>
      <c r="I24" s="10"/>
      <c r="M24" s="10"/>
      <c r="Q24" s="10"/>
      <c r="T24" s="10"/>
      <c r="W24" s="10"/>
      <c r="AB24" s="10"/>
      <c r="AC24" s="9" t="s">
        <v>80</v>
      </c>
      <c r="AD24" s="78">
        <f>L25+AA25</f>
        <v>-0.10787428883782157</v>
      </c>
    </row>
    <row r="25" spans="1:33" x14ac:dyDescent="0.2">
      <c r="A25" s="11" t="s">
        <v>47</v>
      </c>
      <c r="C25" s="7">
        <f>C10/AD10</f>
        <v>0</v>
      </c>
      <c r="D25" s="12" t="s">
        <v>22</v>
      </c>
      <c r="H25" s="69">
        <f>H10/AD10</f>
        <v>0</v>
      </c>
      <c r="I25" s="70" t="s">
        <v>22</v>
      </c>
      <c r="L25" s="7">
        <f>-L14/AD10</f>
        <v>0</v>
      </c>
      <c r="M25" s="12" t="s">
        <v>22</v>
      </c>
      <c r="P25" s="7">
        <f>(P8+P10+P17)/AD10</f>
        <v>5.2993256028525595</v>
      </c>
      <c r="Q25" s="12" t="s">
        <v>22</v>
      </c>
      <c r="S25" s="7">
        <f>S8/AD10</f>
        <v>2.8531135888683137</v>
      </c>
      <c r="T25" s="12" t="s">
        <v>22</v>
      </c>
      <c r="V25" s="7">
        <f>V8/AD10</f>
        <v>1.4182920704332542</v>
      </c>
      <c r="W25" s="12" t="s">
        <v>22</v>
      </c>
      <c r="AA25" s="7">
        <f>-AA19/AD10</f>
        <v>-0.10787428883782157</v>
      </c>
      <c r="AB25" s="12" t="s">
        <v>22</v>
      </c>
      <c r="AC25" s="11" t="s">
        <v>81</v>
      </c>
      <c r="AD25" s="65">
        <f>AD23+AD24</f>
        <v>9.4628569733163062</v>
      </c>
      <c r="AE25" s="65"/>
      <c r="AF25" s="78">
        <v>6.4139999999999997</v>
      </c>
      <c r="AG25">
        <f>AF25/parite</f>
        <v>5.1311999999999998</v>
      </c>
    </row>
    <row r="26" spans="1:33" x14ac:dyDescent="0.2">
      <c r="B26" s="2"/>
      <c r="C26" s="2"/>
      <c r="D26" s="10"/>
      <c r="I26" s="10"/>
      <c r="M26" s="10"/>
      <c r="Q26" s="10"/>
      <c r="T26" s="10"/>
      <c r="W26" s="10"/>
      <c r="AB26" s="10"/>
      <c r="AF26" s="78"/>
      <c r="AG26" s="78"/>
    </row>
    <row r="27" spans="1:33" x14ac:dyDescent="0.2">
      <c r="B27" s="2"/>
      <c r="C27" s="2"/>
      <c r="D27" s="10"/>
      <c r="I27" s="10"/>
      <c r="M27" s="10"/>
      <c r="Q27" s="10"/>
      <c r="T27" s="10"/>
      <c r="W27" s="10"/>
      <c r="AB27" s="10"/>
    </row>
    <row r="28" spans="1:33" x14ac:dyDescent="0.2">
      <c r="B28" s="2"/>
      <c r="C28" s="2"/>
      <c r="D28" s="10"/>
      <c r="E28" s="79" t="s">
        <v>6</v>
      </c>
      <c r="F28" s="79"/>
      <c r="G28" s="79"/>
      <c r="H28" s="79"/>
      <c r="I28" s="4">
        <f>PCopeaux</f>
        <v>1.7004146449723441</v>
      </c>
      <c r="AC28" s="11"/>
      <c r="AE28" s="78"/>
      <c r="AF28" s="78"/>
      <c r="AG28" s="78"/>
    </row>
    <row r="29" spans="1:33" x14ac:dyDescent="0.2">
      <c r="D29" s="10"/>
      <c r="E29" s="79" t="s">
        <v>7</v>
      </c>
      <c r="F29" s="79"/>
      <c r="G29" s="79"/>
      <c r="H29" s="79"/>
      <c r="I29" s="4">
        <f>Pmassifs</f>
        <v>1.1255088099999999</v>
      </c>
      <c r="AC29" s="11"/>
      <c r="AE29" s="78"/>
    </row>
    <row r="30" spans="1:33" x14ac:dyDescent="0.2">
      <c r="D30" s="10"/>
      <c r="E30" s="79" t="s">
        <v>8</v>
      </c>
      <c r="F30" s="79"/>
      <c r="G30" s="79"/>
      <c r="H30" s="79"/>
      <c r="I30" s="5">
        <f>Tacopeaux</f>
        <v>0.11255088099999999</v>
      </c>
      <c r="O30" s="3"/>
    </row>
    <row r="31" spans="1:33" x14ac:dyDescent="0.2">
      <c r="D31" s="10"/>
      <c r="E31" s="79" t="s">
        <v>9</v>
      </c>
      <c r="F31" s="79"/>
      <c r="G31" s="79"/>
      <c r="H31" s="79"/>
      <c r="I31" s="5">
        <f>Tamassifs</f>
        <v>8.4413160749999994E-2</v>
      </c>
      <c r="N31" s="2"/>
      <c r="O31" s="2"/>
    </row>
    <row r="32" spans="1:33" x14ac:dyDescent="0.2">
      <c r="D32" s="10"/>
      <c r="E32" s="79" t="s">
        <v>10</v>
      </c>
      <c r="F32" s="79"/>
      <c r="G32" s="79"/>
      <c r="H32" s="79"/>
      <c r="I32" s="5">
        <f>Trcopeaux</f>
        <v>0.18758480166666663</v>
      </c>
    </row>
    <row r="33" spans="1:22" x14ac:dyDescent="0.2">
      <c r="D33" s="10"/>
      <c r="E33" s="79" t="s">
        <v>11</v>
      </c>
      <c r="F33" s="79"/>
      <c r="G33" s="79"/>
      <c r="H33" s="79"/>
      <c r="I33" s="5">
        <f>Trmassifs</f>
        <v>5.6275440499999996E-2</v>
      </c>
    </row>
    <row r="34" spans="1:22" x14ac:dyDescent="0.2">
      <c r="D34" s="10"/>
    </row>
    <row r="35" spans="1:22" x14ac:dyDescent="0.2">
      <c r="D35" s="10"/>
    </row>
    <row r="36" spans="1:22" x14ac:dyDescent="0.2">
      <c r="D36" s="10"/>
      <c r="N36" s="3"/>
    </row>
    <row r="37" spans="1:22" x14ac:dyDescent="0.2">
      <c r="N37" s="3"/>
    </row>
    <row r="38" spans="1:22" x14ac:dyDescent="0.2">
      <c r="N38" s="3"/>
      <c r="R38" s="13"/>
      <c r="U38" s="3"/>
    </row>
    <row r="39" spans="1:22" x14ac:dyDescent="0.2">
      <c r="U39" s="3"/>
      <c r="V39" s="6"/>
    </row>
    <row r="42" spans="1:22" x14ac:dyDescent="0.2">
      <c r="A42" t="s">
        <v>0</v>
      </c>
      <c r="B42" s="15">
        <v>5.7</v>
      </c>
      <c r="D42">
        <v>5.65</v>
      </c>
      <c r="G42" s="14"/>
    </row>
    <row r="43" spans="1:22" x14ac:dyDescent="0.2">
      <c r="A43" t="s">
        <v>1</v>
      </c>
      <c r="B43" s="15">
        <v>3.12</v>
      </c>
      <c r="D43">
        <v>3.09</v>
      </c>
      <c r="G43" s="14"/>
    </row>
    <row r="44" spans="1:22" x14ac:dyDescent="0.2">
      <c r="A44" t="s">
        <v>32</v>
      </c>
      <c r="B44" s="15">
        <v>2.7</v>
      </c>
      <c r="G44" s="14"/>
      <c r="H44" t="s">
        <v>22</v>
      </c>
      <c r="J44" t="s">
        <v>25</v>
      </c>
      <c r="L44" t="s">
        <v>22</v>
      </c>
      <c r="N44" t="s">
        <v>25</v>
      </c>
    </row>
    <row r="46" spans="1:22" ht="15" x14ac:dyDescent="0.25">
      <c r="G46" s="17" t="s">
        <v>24</v>
      </c>
      <c r="H46" s="19">
        <f>C25</f>
        <v>0</v>
      </c>
      <c r="I46" s="17"/>
      <c r="J46" s="17"/>
      <c r="L46" s="22">
        <f t="shared" ref="L46:L52" si="0">IF(H46="",J46*parite,H46)</f>
        <v>0</v>
      </c>
      <c r="M46" s="23"/>
      <c r="N46" s="24">
        <f t="shared" ref="N46:N52" si="1">IF(J46="",H46/parite,J46)</f>
        <v>0</v>
      </c>
    </row>
    <row r="47" spans="1:22" ht="15" x14ac:dyDescent="0.25">
      <c r="G47" s="17" t="str">
        <f>E6</f>
        <v>Processing</v>
      </c>
      <c r="H47" s="20"/>
      <c r="I47" s="17"/>
      <c r="J47" s="21">
        <f>H25/parite</f>
        <v>0</v>
      </c>
      <c r="L47" s="22">
        <f t="shared" si="0"/>
        <v>0</v>
      </c>
      <c r="M47" s="23"/>
      <c r="N47" s="24">
        <f t="shared" si="1"/>
        <v>0</v>
      </c>
    </row>
    <row r="48" spans="1:22" ht="15" x14ac:dyDescent="0.25">
      <c r="G48" s="17" t="str">
        <f>J6</f>
        <v>Vente perte du processing</v>
      </c>
      <c r="H48" s="19">
        <f>L25</f>
        <v>0</v>
      </c>
      <c r="I48" s="17"/>
      <c r="J48" s="20"/>
      <c r="L48" s="22">
        <f t="shared" si="0"/>
        <v>0</v>
      </c>
      <c r="M48" s="23"/>
      <c r="N48" s="24">
        <f t="shared" si="1"/>
        <v>0</v>
      </c>
    </row>
    <row r="49" spans="7:15" ht="15" x14ac:dyDescent="0.25">
      <c r="G49" s="17" t="str">
        <f>N6</f>
        <v>Matières Premières</v>
      </c>
      <c r="H49" s="19">
        <f>P25</f>
        <v>5.2993256028525595</v>
      </c>
      <c r="I49" s="17"/>
      <c r="J49" s="20"/>
      <c r="L49" s="22">
        <f t="shared" si="0"/>
        <v>5.2993256028525595</v>
      </c>
      <c r="M49" s="23"/>
      <c r="N49" s="24">
        <f t="shared" si="1"/>
        <v>4.2394604822820474</v>
      </c>
    </row>
    <row r="50" spans="7:15" ht="15" x14ac:dyDescent="0.25">
      <c r="G50" s="17" t="str">
        <f>R6</f>
        <v>CD</v>
      </c>
      <c r="H50" s="20"/>
      <c r="I50" s="17"/>
      <c r="J50" s="21">
        <v>2.3804129663790405</v>
      </c>
      <c r="L50" s="22">
        <f t="shared" si="0"/>
        <v>2.9755162079738007</v>
      </c>
      <c r="M50" s="23"/>
      <c r="N50" s="24">
        <f t="shared" si="1"/>
        <v>2.3804129663790405</v>
      </c>
    </row>
    <row r="51" spans="7:15" ht="15" x14ac:dyDescent="0.25">
      <c r="G51" s="17" t="str">
        <f>U6</f>
        <v>FGx</v>
      </c>
      <c r="H51" s="20"/>
      <c r="I51" s="17"/>
      <c r="J51" s="21">
        <v>1.0863773191117923</v>
      </c>
      <c r="L51" s="22">
        <f t="shared" si="0"/>
        <v>1.3579716488897402</v>
      </c>
      <c r="M51" s="23"/>
      <c r="N51" s="24">
        <f t="shared" si="1"/>
        <v>1.0863773191117923</v>
      </c>
    </row>
    <row r="52" spans="7:15" ht="15" x14ac:dyDescent="0.25">
      <c r="G52" s="17" t="str">
        <f>X6</f>
        <v>Vente chutes</v>
      </c>
      <c r="H52" s="19">
        <f>AA25</f>
        <v>-0.10787428883782157</v>
      </c>
      <c r="I52" s="17"/>
      <c r="J52" s="17"/>
      <c r="L52" s="22">
        <f t="shared" si="0"/>
        <v>-0.10787428883782157</v>
      </c>
      <c r="M52" s="23"/>
      <c r="N52" s="24">
        <f t="shared" si="1"/>
        <v>-8.6299431070257254E-2</v>
      </c>
    </row>
    <row r="53" spans="7:15" ht="13.5" thickBot="1" x14ac:dyDescent="0.25">
      <c r="H53" s="15"/>
      <c r="O53" t="s">
        <v>31</v>
      </c>
    </row>
    <row r="54" spans="7:15" ht="16.5" thickTop="1" thickBot="1" x14ac:dyDescent="0.3">
      <c r="G54" s="16" t="s">
        <v>26</v>
      </c>
      <c r="H54" s="16"/>
      <c r="I54" s="16"/>
      <c r="J54" s="26">
        <v>3.23</v>
      </c>
      <c r="K54" s="16"/>
      <c r="L54" s="27">
        <f>IF(H54="",J54*parite,H54)</f>
        <v>4.0374999999999996</v>
      </c>
      <c r="M54" s="28"/>
      <c r="N54" s="26">
        <f>IF(J54="",H54/parite,J54)</f>
        <v>3.23</v>
      </c>
      <c r="O54" s="25"/>
    </row>
    <row r="55" spans="7:15" ht="15.75" thickTop="1" x14ac:dyDescent="0.25">
      <c r="G55" s="18" t="s">
        <v>27</v>
      </c>
      <c r="H55" s="18"/>
      <c r="I55" s="18"/>
      <c r="J55" s="24"/>
      <c r="K55" s="18"/>
      <c r="L55" s="22">
        <f>SUM(L46:L50)+L52</f>
        <v>8.1669675219885374</v>
      </c>
      <c r="M55" s="18"/>
      <c r="N55" s="24">
        <f>SUM(N46:N50)+N52</f>
        <v>6.5335740175908308</v>
      </c>
      <c r="O55" s="18"/>
    </row>
    <row r="56" spans="7:15" ht="15" x14ac:dyDescent="0.25">
      <c r="G56" s="29" t="s">
        <v>28</v>
      </c>
      <c r="H56" s="29"/>
      <c r="I56" s="29"/>
      <c r="J56" s="29"/>
      <c r="K56" s="29"/>
      <c r="L56" s="30">
        <f>SUM(L46:L52)</f>
        <v>9.5249391708782785</v>
      </c>
      <c r="M56" s="29"/>
      <c r="N56" s="31">
        <f>SUM(N46:N52)</f>
        <v>7.6199513367026235</v>
      </c>
      <c r="O56" s="29"/>
    </row>
    <row r="57" spans="7:15" ht="15.75" thickBot="1" x14ac:dyDescent="0.3">
      <c r="G57" s="32" t="s">
        <v>29</v>
      </c>
      <c r="H57" s="33"/>
      <c r="I57" s="33"/>
      <c r="J57" s="33"/>
      <c r="K57" s="33"/>
      <c r="L57" s="34">
        <f>L56+L54</f>
        <v>13.562439170878278</v>
      </c>
      <c r="M57" s="33"/>
      <c r="N57" s="35">
        <f>N56+N54</f>
        <v>10.849951336702624</v>
      </c>
      <c r="O57" s="36">
        <f>(N57-N55)/N57</f>
        <v>0.39782457866982196</v>
      </c>
    </row>
    <row r="58" spans="7:15" ht="15.75" thickTop="1" x14ac:dyDescent="0.25">
      <c r="G58" s="37" t="s">
        <v>30</v>
      </c>
      <c r="H58" s="38"/>
      <c r="I58" s="38"/>
      <c r="J58" s="38"/>
      <c r="K58" s="38">
        <v>1.2849999999999999</v>
      </c>
      <c r="L58" s="39">
        <f>L56*K58</f>
        <v>12.239546834578586</v>
      </c>
      <c r="M58" s="38"/>
      <c r="N58" s="40">
        <f>N56*K58</f>
        <v>9.7916374676628699</v>
      </c>
      <c r="O58" s="41">
        <f>(N58-N55)/N58</f>
        <v>0.33273938713845114</v>
      </c>
    </row>
  </sheetData>
  <mergeCells count="6">
    <mergeCell ref="E33:H33"/>
    <mergeCell ref="E28:H28"/>
    <mergeCell ref="E29:H29"/>
    <mergeCell ref="E30:H30"/>
    <mergeCell ref="E31:H31"/>
    <mergeCell ref="E32:H32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35</vt:i4>
      </vt:variant>
    </vt:vector>
  </HeadingPairs>
  <TitlesOfParts>
    <vt:vector size="38" baseType="lpstr">
      <vt:lpstr>Paramètres</vt:lpstr>
      <vt:lpstr>Matières</vt:lpstr>
      <vt:lpstr>Calcul Devis 100% Chutes</vt:lpstr>
      <vt:lpstr>cdfusion</vt:lpstr>
      <vt:lpstr>chuferro</vt:lpstr>
      <vt:lpstr>copeau</vt:lpstr>
      <vt:lpstr>fgxfusion</vt:lpstr>
      <vt:lpstr>krecup</vt:lpstr>
      <vt:lpstr>massif</vt:lpstr>
      <vt:lpstr>parite</vt:lpstr>
      <vt:lpstr>partepongex</vt:lpstr>
      <vt:lpstr>PCopeaux</vt:lpstr>
      <vt:lpstr>perteecroutage</vt:lpstr>
      <vt:lpstr>pertegalette</vt:lpstr>
      <vt:lpstr>Pmassifs</vt:lpstr>
      <vt:lpstr>pxcoptrait</vt:lpstr>
      <vt:lpstr>pxeponge</vt:lpstr>
      <vt:lpstr>pxmarcopeau</vt:lpstr>
      <vt:lpstr>pxmarferroti</vt:lpstr>
      <vt:lpstr>pxmarlingot</vt:lpstr>
      <vt:lpstr>pxmarmassif</vt:lpstr>
      <vt:lpstr>pxmasteral</vt:lpstr>
      <vt:lpstr>pxnegcopeau</vt:lpstr>
      <vt:lpstr>pxnegmassif</vt:lpstr>
      <vt:lpstr>pxrccopeau</vt:lpstr>
      <vt:lpstr>pxrciacopeau</vt:lpstr>
      <vt:lpstr>pxrciamassif</vt:lpstr>
      <vt:lpstr>pxrcmassif</vt:lpstr>
      <vt:lpstr>Rdtcopeaux</vt:lpstr>
      <vt:lpstr>Rdtmassifs</vt:lpstr>
      <vt:lpstr>ruplasma</vt:lpstr>
      <vt:lpstr>ruvar</vt:lpstr>
      <vt:lpstr>Tacopeaux</vt:lpstr>
      <vt:lpstr>Tamassifs</vt:lpstr>
      <vt:lpstr>tcopeaux</vt:lpstr>
      <vt:lpstr>tmassifs</vt:lpstr>
      <vt:lpstr>Trcopeaux</vt:lpstr>
      <vt:lpstr>Trmassifs</vt:lpstr>
    </vt:vector>
  </TitlesOfParts>
  <Company>Aubert &amp; Duval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 Delaborde</dc:creator>
  <cp:lastModifiedBy>Patrick Delaborde</cp:lastModifiedBy>
  <cp:lastPrinted>2012-10-05T13:38:05Z</cp:lastPrinted>
  <dcterms:created xsi:type="dcterms:W3CDTF">2012-10-05T06:05:43Z</dcterms:created>
  <dcterms:modified xsi:type="dcterms:W3CDTF">2015-01-30T16:46:56Z</dcterms:modified>
</cp:coreProperties>
</file>