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19320" windowHeight="11070" activeTab="1"/>
  </bookViews>
  <sheets>
    <sheet name="Paramètres" sheetId="3" r:id="rId1"/>
    <sheet name="Matières" sheetId="5" r:id="rId2"/>
    <sheet name="Calcul Devis 100% Chutes" sheetId="4" r:id="rId3"/>
    <sheet name="Calcul Devis Chutes EC + Lgt Sp" sheetId="6" r:id="rId4"/>
    <sheet name="Schéma Flux Fi" sheetId="2" r:id="rId5"/>
    <sheet name="Marchés et Chutes" sheetId="7" r:id="rId6"/>
  </sheets>
  <externalReferences>
    <externalReference r:id="rId7"/>
  </externalReferences>
  <definedNames>
    <definedName name="_xlnm._FilterDatabase" localSheetId="5" hidden="1">'Marchés et Chutes'!$A$3:$AB$22</definedName>
    <definedName name="cdfusion">Paramètres!$I$19</definedName>
    <definedName name="chuferro" localSheetId="3">'Calcul Devis Chutes EC + Lgt Sp'!$B$44</definedName>
    <definedName name="chuferro">'Calcul Devis 100% Chutes'!$B$44</definedName>
    <definedName name="chuteenlingot">[1]Paramétrage!$A$25:$E$67</definedName>
    <definedName name="copeau" localSheetId="3">'Calcul Devis Chutes EC + Lgt Sp'!$B$43</definedName>
    <definedName name="copeau">'Calcul Devis 100% Chutes'!$B$43</definedName>
    <definedName name="descmarche">'Marchés et Chutes'!$A$3:$AB$103</definedName>
    <definedName name="eurodol">'Schéma Flux Fi'!$B$2</definedName>
    <definedName name="fgxfusion">Paramètres!$I$20</definedName>
    <definedName name="krecup">Paramètres!$E$15</definedName>
    <definedName name="massif" localSheetId="3">'Calcul Devis Chutes EC + Lgt Sp'!$B$42</definedName>
    <definedName name="massif">'Calcul Devis 100% Chutes'!$B$42</definedName>
    <definedName name="ndpecoti">'[1]Outil BP'!$B$18:$K$26</definedName>
    <definedName name="negchutes">'[1]Negoce Chutes'!$A$2:$R$27</definedName>
    <definedName name="parite">Paramètres!$I$4</definedName>
    <definedName name="partepongex">Paramètres!$L$6</definedName>
    <definedName name="PCopeaux">Paramètres!$E$4</definedName>
    <definedName name="perteecroutage">Paramètres!$I$24</definedName>
    <definedName name="pertegalette">Paramètres!$I$23</definedName>
    <definedName name="Pmassifs">Paramètres!$E$5</definedName>
    <definedName name="pxcopeau">'[1]Prix Lingots et Chutes'!$A$25:$O$31</definedName>
    <definedName name="pxeponge">Paramètres!$L$4</definedName>
    <definedName name="pxferroti">'[1]Prix Lingots et Chutes'!$A$34:$O$40</definedName>
    <definedName name="pxlingot">'[1]Prix Lingots et Chutes'!$A$3:$O$13</definedName>
    <definedName name="pxmarcopeau">Paramètres!$C$21</definedName>
    <definedName name="pxmarferroti">Paramètres!$C$22</definedName>
    <definedName name="pxmarlingot">Paramètres!$C$19</definedName>
    <definedName name="pxmarmassif">Paramètres!$C$20</definedName>
    <definedName name="pxmassif">'[1]Prix Lingots et Chutes'!$A$16:$O$22</definedName>
    <definedName name="pxmasteral">Paramètres!$L$13</definedName>
    <definedName name="pxnegcopeau">Paramètres!$C$34</definedName>
    <definedName name="pxnegmassif">Paramètres!$C$33</definedName>
    <definedName name="pxrccopeau">Paramètres!$C$26</definedName>
    <definedName name="pxrciacopeau">Paramètres!$C$30</definedName>
    <definedName name="pxrciamassif">Paramètres!$C$29</definedName>
    <definedName name="pxrcmassif">Paramètres!$C$25</definedName>
    <definedName name="Rdtcopeaux">Paramètres!$E$13</definedName>
    <definedName name="Rdtmassifs">Paramètres!$E$12</definedName>
    <definedName name="recupchute">[1]Paramétrage!$A$5:$C$11</definedName>
    <definedName name="ruplasma">Paramètres!$I$21</definedName>
    <definedName name="ruvar">Paramètres!$I$22</definedName>
    <definedName name="Tacopeaux">Paramètres!$E$7</definedName>
    <definedName name="Tamassifs">Paramètres!$E$8</definedName>
    <definedName name="tcopeaux" localSheetId="3">'Calcul Devis Chutes EC + Lgt Sp'!$B$9</definedName>
    <definedName name="tcopeaux">'Calcul Devis 100% Chutes'!$B$9</definedName>
    <definedName name="tmassifs" localSheetId="3">'Calcul Devis Chutes EC + Lgt Sp'!$B$8</definedName>
    <definedName name="tmassifs">'Calcul Devis 100% Chutes'!$B$8</definedName>
    <definedName name="Trcopeaux">Paramètres!$E$9</definedName>
    <definedName name="Trmassifs">Paramètres!$E$10</definedName>
  </definedNames>
  <calcPr calcId="145621"/>
</workbook>
</file>

<file path=xl/calcChain.xml><?xml version="1.0" encoding="utf-8"?>
<calcChain xmlns="http://schemas.openxmlformats.org/spreadsheetml/2006/main">
  <c r="L32" i="5" l="1"/>
  <c r="B22" i="5" s="1"/>
  <c r="L31" i="5"/>
  <c r="B21" i="5" s="1"/>
  <c r="B10" i="5"/>
  <c r="L23" i="5"/>
  <c r="L22" i="5"/>
  <c r="L21" i="5"/>
  <c r="X22" i="7"/>
  <c r="M22" i="7"/>
  <c r="Y22" i="7" s="1"/>
  <c r="L22" i="7"/>
  <c r="K22" i="7"/>
  <c r="A22" i="7"/>
  <c r="Y21" i="7"/>
  <c r="X21" i="7"/>
  <c r="K21" i="7"/>
  <c r="A21" i="7"/>
  <c r="L20" i="7"/>
  <c r="X20" i="7" s="1"/>
  <c r="K20" i="7"/>
  <c r="M20" i="7" s="1"/>
  <c r="Y20" i="7" s="1"/>
  <c r="A20" i="7"/>
  <c r="Y19" i="7"/>
  <c r="X19" i="7"/>
  <c r="K19" i="7"/>
  <c r="A19" i="7"/>
  <c r="Y18" i="7"/>
  <c r="X18" i="7"/>
  <c r="K18" i="7"/>
  <c r="A18" i="7"/>
  <c r="Y17" i="7"/>
  <c r="X17" i="7"/>
  <c r="K17" i="7"/>
  <c r="A17" i="7"/>
  <c r="P16" i="7"/>
  <c r="O16" i="7"/>
  <c r="L16" i="7"/>
  <c r="X16" i="7" s="1"/>
  <c r="K16" i="7"/>
  <c r="M16" i="7" s="1"/>
  <c r="Y16" i="7" s="1"/>
  <c r="A16" i="7"/>
  <c r="P15" i="7"/>
  <c r="O15" i="7"/>
  <c r="L15" i="7"/>
  <c r="X15" i="7" s="1"/>
  <c r="K15" i="7"/>
  <c r="M15" i="7" s="1"/>
  <c r="Y15" i="7" s="1"/>
  <c r="A15" i="7"/>
  <c r="S14" i="7"/>
  <c r="P14" i="7"/>
  <c r="O14" i="7"/>
  <c r="M14" i="7"/>
  <c r="Y14" i="7" s="1"/>
  <c r="K14" i="7"/>
  <c r="L14" i="7" s="1"/>
  <c r="X14" i="7" s="1"/>
  <c r="A14" i="7"/>
  <c r="K13" i="7"/>
  <c r="M13" i="7" s="1"/>
  <c r="Y13" i="7" s="1"/>
  <c r="A13" i="7"/>
  <c r="M12" i="7"/>
  <c r="Y12" i="7" s="1"/>
  <c r="K12" i="7"/>
  <c r="L12" i="7" s="1"/>
  <c r="X12" i="7" s="1"/>
  <c r="A12" i="7"/>
  <c r="K11" i="7"/>
  <c r="M11" i="7" s="1"/>
  <c r="Y11" i="7" s="1"/>
  <c r="A11" i="7"/>
  <c r="Y10" i="7"/>
  <c r="X10" i="7"/>
  <c r="K10" i="7"/>
  <c r="A10" i="7"/>
  <c r="Y9" i="7"/>
  <c r="X9" i="7"/>
  <c r="K9" i="7"/>
  <c r="A9" i="7"/>
  <c r="M8" i="7"/>
  <c r="Y8" i="7" s="1"/>
  <c r="K8" i="7"/>
  <c r="L8" i="7" s="1"/>
  <c r="X8" i="7" s="1"/>
  <c r="A8" i="7"/>
  <c r="K7" i="7"/>
  <c r="M7" i="7" s="1"/>
  <c r="Y7" i="7" s="1"/>
  <c r="A7" i="7"/>
  <c r="M6" i="7"/>
  <c r="Y6" i="7" s="1"/>
  <c r="K6" i="7"/>
  <c r="L6" i="7" s="1"/>
  <c r="X6" i="7" s="1"/>
  <c r="A6" i="7"/>
  <c r="Y5" i="7"/>
  <c r="K5" i="7"/>
  <c r="L5" i="7" s="1"/>
  <c r="X5" i="7" s="1"/>
  <c r="A5" i="7"/>
  <c r="S4" i="7"/>
  <c r="P4" i="7"/>
  <c r="O4" i="7"/>
  <c r="K4" i="7"/>
  <c r="M4" i="7" s="1"/>
  <c r="Y4" i="7" s="1"/>
  <c r="A4" i="7"/>
  <c r="L19" i="5"/>
  <c r="AG25" i="6"/>
  <c r="AG23" i="6"/>
  <c r="AG25" i="4"/>
  <c r="AG23" i="4"/>
  <c r="L4" i="7" l="1"/>
  <c r="X4" i="7" s="1"/>
  <c r="L7" i="7"/>
  <c r="X7" i="7" s="1"/>
  <c r="L11" i="7"/>
  <c r="X11" i="7" s="1"/>
  <c r="L13" i="7"/>
  <c r="X13" i="7" s="1"/>
  <c r="L11" i="5" l="1"/>
  <c r="N54" i="6"/>
  <c r="L54" i="6"/>
  <c r="G52" i="6"/>
  <c r="N51" i="6"/>
  <c r="L51" i="6"/>
  <c r="G51" i="6"/>
  <c r="N50" i="6"/>
  <c r="L50" i="6"/>
  <c r="G50" i="6"/>
  <c r="G49" i="6"/>
  <c r="G48" i="6"/>
  <c r="G47" i="6"/>
  <c r="I33" i="6"/>
  <c r="I32" i="6"/>
  <c r="I31" i="6"/>
  <c r="I30" i="6"/>
  <c r="I29" i="6"/>
  <c r="I28" i="6"/>
  <c r="AF23" i="6"/>
  <c r="Y18" i="6"/>
  <c r="O14" i="6"/>
  <c r="L12" i="6"/>
  <c r="F9" i="6"/>
  <c r="F8" i="6"/>
  <c r="B23" i="5" l="1"/>
  <c r="B17" i="5"/>
  <c r="B11" i="5"/>
  <c r="B5" i="5"/>
  <c r="C16" i="5" l="1"/>
  <c r="C15" i="5"/>
  <c r="C22" i="5"/>
  <c r="C21" i="5"/>
  <c r="AF23" i="4" l="1"/>
  <c r="I20" i="3" l="1"/>
  <c r="I19" i="3"/>
  <c r="Y18" i="4"/>
  <c r="L12" i="3"/>
  <c r="L10" i="3"/>
  <c r="M17" i="3"/>
  <c r="L17" i="3" s="1"/>
  <c r="N15" i="3"/>
  <c r="O14" i="4"/>
  <c r="N17" i="3" l="1"/>
  <c r="L16" i="3"/>
  <c r="L12" i="4"/>
  <c r="D16" i="5"/>
  <c r="D15" i="5"/>
  <c r="D10" i="5"/>
  <c r="D9" i="5"/>
  <c r="D11" i="5" s="1"/>
  <c r="D4" i="5"/>
  <c r="D3" i="5"/>
  <c r="D22" i="5"/>
  <c r="D21" i="5"/>
  <c r="D23" i="5" s="1"/>
  <c r="B29" i="5"/>
  <c r="B36" i="5" s="1"/>
  <c r="B9" i="6" s="1"/>
  <c r="B28" i="5"/>
  <c r="B35" i="5" s="1"/>
  <c r="I33" i="4"/>
  <c r="I32" i="4"/>
  <c r="I31" i="4"/>
  <c r="I30" i="4"/>
  <c r="I29" i="4"/>
  <c r="I28" i="4"/>
  <c r="G9" i="6" l="1"/>
  <c r="H9" i="6" s="1"/>
  <c r="B37" i="5"/>
  <c r="B10" i="6" s="1"/>
  <c r="B8" i="6"/>
  <c r="D17" i="5"/>
  <c r="D5" i="5"/>
  <c r="B9" i="4"/>
  <c r="B30" i="5"/>
  <c r="C28" i="5" s="1"/>
  <c r="N16" i="3"/>
  <c r="L13" i="3"/>
  <c r="D29" i="5"/>
  <c r="D36" i="5" s="1"/>
  <c r="C9" i="6" s="1"/>
  <c r="B8" i="4"/>
  <c r="D28" i="5"/>
  <c r="D35" i="5" s="1"/>
  <c r="K9" i="6" l="1"/>
  <c r="D37" i="5"/>
  <c r="C10" i="6" s="1"/>
  <c r="C8" i="6"/>
  <c r="G8" i="6"/>
  <c r="K8" i="6" s="1"/>
  <c r="C9" i="4"/>
  <c r="D30" i="5"/>
  <c r="B10" i="4"/>
  <c r="C29" i="5"/>
  <c r="C8" i="4"/>
  <c r="K10" i="6" l="1"/>
  <c r="K14" i="6" s="1"/>
  <c r="L14" i="6" s="1"/>
  <c r="H8" i="6"/>
  <c r="H10" i="6" s="1"/>
  <c r="G10" i="6"/>
  <c r="C10" i="4"/>
  <c r="F9" i="4"/>
  <c r="F8" i="4"/>
  <c r="L10" i="6" l="1"/>
  <c r="O12" i="6"/>
  <c r="AC18" i="6" s="1"/>
  <c r="G9" i="4"/>
  <c r="AD10" i="6" l="1"/>
  <c r="H25" i="6" s="1"/>
  <c r="J47" i="6" s="1"/>
  <c r="N47" i="6" s="1"/>
  <c r="Z8" i="6"/>
  <c r="O8" i="6"/>
  <c r="P8" i="6" s="1"/>
  <c r="O10" i="6"/>
  <c r="P10" i="6" s="1"/>
  <c r="H9" i="4"/>
  <c r="K9" i="4"/>
  <c r="G8" i="4"/>
  <c r="N54" i="4"/>
  <c r="L54" i="4"/>
  <c r="N50" i="4"/>
  <c r="N51" i="4"/>
  <c r="L50" i="4"/>
  <c r="L51" i="4"/>
  <c r="G52" i="4"/>
  <c r="G51" i="4"/>
  <c r="G50" i="4"/>
  <c r="G49" i="4"/>
  <c r="G48" i="4"/>
  <c r="G47" i="4"/>
  <c r="C25" i="6" l="1"/>
  <c r="H46" i="6" s="1"/>
  <c r="AD8" i="6"/>
  <c r="P25" i="6"/>
  <c r="H49" i="6" s="1"/>
  <c r="L49" i="6" s="1"/>
  <c r="S8" i="6"/>
  <c r="S2" i="6" s="1"/>
  <c r="L10" i="5"/>
  <c r="AD18" i="6"/>
  <c r="L47" i="6"/>
  <c r="L25" i="6"/>
  <c r="H48" i="6" s="1"/>
  <c r="V8" i="6"/>
  <c r="V25" i="6" s="1"/>
  <c r="P12" i="6"/>
  <c r="Y9" i="6"/>
  <c r="Z9" i="6" s="1"/>
  <c r="Y10" i="6" s="1"/>
  <c r="Z10" i="6" s="1"/>
  <c r="Y11" i="6" s="1"/>
  <c r="Z11" i="6" s="1"/>
  <c r="H8" i="4"/>
  <c r="K8" i="4"/>
  <c r="G10" i="4"/>
  <c r="C24" i="2"/>
  <c r="C25" i="2"/>
  <c r="D24" i="2"/>
  <c r="E24" i="2"/>
  <c r="F24" i="2"/>
  <c r="G24" i="2"/>
  <c r="H24" i="2"/>
  <c r="I24" i="2"/>
  <c r="J24" i="2"/>
  <c r="K24" i="2"/>
  <c r="L24" i="2"/>
  <c r="M24" i="2"/>
  <c r="N24" i="2"/>
  <c r="O24" i="2"/>
  <c r="B24" i="2"/>
  <c r="B26" i="2"/>
  <c r="B19" i="2"/>
  <c r="B13" i="2"/>
  <c r="H15" i="2"/>
  <c r="D15" i="2"/>
  <c r="H9" i="2"/>
  <c r="D9" i="2"/>
  <c r="L9" i="2" s="1"/>
  <c r="N49" i="6" l="1"/>
  <c r="S25" i="6"/>
  <c r="L46" i="6"/>
  <c r="N46" i="6"/>
  <c r="Y12" i="6"/>
  <c r="Z12" i="6" s="1"/>
  <c r="AD23" i="6"/>
  <c r="N48" i="6"/>
  <c r="L48" i="6"/>
  <c r="O12" i="4"/>
  <c r="Z8" i="4" s="1"/>
  <c r="Y9" i="4" s="1"/>
  <c r="Z9" i="4" s="1"/>
  <c r="Y10" i="4" s="1"/>
  <c r="H10" i="4"/>
  <c r="K10" i="4"/>
  <c r="K14" i="4" s="1"/>
  <c r="L14" i="4" s="1"/>
  <c r="C11" i="2"/>
  <c r="C12" i="2" s="1"/>
  <c r="C13" i="2" s="1"/>
  <c r="L11" i="2"/>
  <c r="I14" i="2"/>
  <c r="C26" i="2"/>
  <c r="D25" i="2"/>
  <c r="I11" i="2"/>
  <c r="M11" i="2"/>
  <c r="D11" i="2"/>
  <c r="F11" i="2"/>
  <c r="J11" i="2"/>
  <c r="N11" i="2"/>
  <c r="E11" i="2"/>
  <c r="G11" i="2"/>
  <c r="K11" i="2"/>
  <c r="O11" i="2"/>
  <c r="H11" i="2"/>
  <c r="B11" i="2"/>
  <c r="H22" i="2"/>
  <c r="I27" i="2" s="1"/>
  <c r="L15" i="2"/>
  <c r="I20" i="2" s="1"/>
  <c r="Y13" i="6" l="1"/>
  <c r="Y17" i="6" s="1"/>
  <c r="Y19" i="6" s="1"/>
  <c r="AA19" i="6" s="1"/>
  <c r="AA25" i="6" s="1"/>
  <c r="AD12" i="6"/>
  <c r="Z10" i="4"/>
  <c r="Y11" i="4" s="1"/>
  <c r="Z11" i="4" s="1"/>
  <c r="Y12" i="4" s="1"/>
  <c r="Z12" i="4" s="1"/>
  <c r="Y13" i="4" s="1"/>
  <c r="Z13" i="4" s="1"/>
  <c r="AD10" i="4"/>
  <c r="L5" i="5" s="1"/>
  <c r="L12" i="5" s="1"/>
  <c r="L14" i="5" s="1"/>
  <c r="O8" i="4"/>
  <c r="P8" i="4" s="1"/>
  <c r="O10" i="4"/>
  <c r="P10" i="4" s="1"/>
  <c r="AC18" i="4"/>
  <c r="L10" i="4"/>
  <c r="D12" i="2"/>
  <c r="D13" i="2" s="1"/>
  <c r="D26" i="2"/>
  <c r="E25" i="2"/>
  <c r="E17" i="2"/>
  <c r="I17" i="2"/>
  <c r="M17" i="2"/>
  <c r="F17" i="2"/>
  <c r="J17" i="2"/>
  <c r="N17" i="2"/>
  <c r="C17" i="2"/>
  <c r="C18" i="2" s="1"/>
  <c r="C19" i="2" s="1"/>
  <c r="G17" i="2"/>
  <c r="K17" i="2"/>
  <c r="O17" i="2"/>
  <c r="D17" i="2"/>
  <c r="D18" i="2" s="1"/>
  <c r="D19" i="2" s="1"/>
  <c r="H17" i="2"/>
  <c r="L17" i="2"/>
  <c r="B17" i="2"/>
  <c r="Z13" i="6" l="1"/>
  <c r="L9" i="5"/>
  <c r="L13" i="5" s="1"/>
  <c r="H52" i="6"/>
  <c r="AD24" i="6"/>
  <c r="AD25" i="6" s="1"/>
  <c r="AD14" i="6"/>
  <c r="AD20" i="6" s="1"/>
  <c r="Y17" i="4"/>
  <c r="Y19" i="4" s="1"/>
  <c r="AA19" i="4" s="1"/>
  <c r="AA25" i="4" s="1"/>
  <c r="H52" i="4" s="1"/>
  <c r="N52" i="4" s="1"/>
  <c r="C25" i="4"/>
  <c r="H46" i="4" s="1"/>
  <c r="N46" i="4" s="1"/>
  <c r="AD8" i="4"/>
  <c r="V8" i="4"/>
  <c r="V25" i="4" s="1"/>
  <c r="S8" i="4"/>
  <c r="S25" i="4" s="1"/>
  <c r="H25" i="4"/>
  <c r="L25" i="4"/>
  <c r="P25" i="4"/>
  <c r="H49" i="4" s="1"/>
  <c r="N49" i="4" s="1"/>
  <c r="AD18" i="4"/>
  <c r="P12" i="4"/>
  <c r="E12" i="2"/>
  <c r="E18" i="2"/>
  <c r="E19" i="2" s="1"/>
  <c r="E26" i="2"/>
  <c r="F25" i="2"/>
  <c r="N52" i="6" l="1"/>
  <c r="L52" i="6"/>
  <c r="H48" i="4"/>
  <c r="L48" i="4" s="1"/>
  <c r="AD24" i="4"/>
  <c r="J47" i="4"/>
  <c r="N47" i="4" s="1"/>
  <c r="AD23" i="4"/>
  <c r="AD12" i="4" s="1"/>
  <c r="S2" i="4"/>
  <c r="L52" i="4"/>
  <c r="AD14" i="4"/>
  <c r="L49" i="4"/>
  <c r="L46" i="4"/>
  <c r="E13" i="2"/>
  <c r="F12" i="2"/>
  <c r="G25" i="2"/>
  <c r="F26" i="2"/>
  <c r="F18" i="2"/>
  <c r="L55" i="6" l="1"/>
  <c r="L56" i="6"/>
  <c r="N55" i="6"/>
  <c r="N56" i="6"/>
  <c r="N48" i="4"/>
  <c r="N56" i="4" s="1"/>
  <c r="N57" i="4" s="1"/>
  <c r="AD25" i="4"/>
  <c r="L47" i="4"/>
  <c r="L56" i="4" s="1"/>
  <c r="L58" i="4" s="1"/>
  <c r="F13" i="2"/>
  <c r="G12" i="2"/>
  <c r="H25" i="2"/>
  <c r="G26" i="2"/>
  <c r="F19" i="2"/>
  <c r="G18" i="2"/>
  <c r="N57" i="6" l="1"/>
  <c r="O57" i="6" s="1"/>
  <c r="N58" i="6"/>
  <c r="O58" i="6" s="1"/>
  <c r="L58" i="6"/>
  <c r="L57" i="6"/>
  <c r="L4" i="5"/>
  <c r="AD20" i="4"/>
  <c r="N55" i="4"/>
  <c r="O57" i="4" s="1"/>
  <c r="N58" i="4"/>
  <c r="L55" i="4"/>
  <c r="L57" i="4"/>
  <c r="G13" i="2"/>
  <c r="H12" i="2"/>
  <c r="G19" i="2"/>
  <c r="H18" i="2"/>
  <c r="H26" i="2"/>
  <c r="I25" i="2"/>
  <c r="O58" i="4" l="1"/>
  <c r="H13" i="2"/>
  <c r="I12" i="2"/>
  <c r="I26" i="2"/>
  <c r="J25" i="2"/>
  <c r="H19" i="2"/>
  <c r="I18" i="2"/>
  <c r="I13" i="2" l="1"/>
  <c r="J12" i="2"/>
  <c r="J26" i="2"/>
  <c r="K25" i="2"/>
  <c r="I19" i="2"/>
  <c r="J18" i="2"/>
  <c r="J13" i="2" l="1"/>
  <c r="K12" i="2"/>
  <c r="J19" i="2"/>
  <c r="K18" i="2"/>
  <c r="L25" i="2"/>
  <c r="K26" i="2"/>
  <c r="K13" i="2" l="1"/>
  <c r="L12" i="2"/>
  <c r="K19" i="2"/>
  <c r="L18" i="2"/>
  <c r="L26" i="2"/>
  <c r="M25" i="2"/>
  <c r="L13" i="2" l="1"/>
  <c r="M12" i="2"/>
  <c r="M26" i="2"/>
  <c r="N25" i="2"/>
  <c r="L19" i="2"/>
  <c r="M18" i="2"/>
  <c r="M13" i="2" l="1"/>
  <c r="N12" i="2"/>
  <c r="M19" i="2"/>
  <c r="N18" i="2"/>
  <c r="N26" i="2"/>
  <c r="O25" i="2"/>
  <c r="O26" i="2" s="1"/>
  <c r="N13" i="2" l="1"/>
  <c r="O12" i="2"/>
  <c r="O13" i="2" s="1"/>
  <c r="N19" i="2"/>
  <c r="O18" i="2"/>
  <c r="O19" i="2" s="1"/>
</calcChain>
</file>

<file path=xl/comments1.xml><?xml version="1.0" encoding="utf-8"?>
<comments xmlns="http://schemas.openxmlformats.org/spreadsheetml/2006/main">
  <authors>
    <author>Patrick Delaborde</author>
  </authors>
  <commentList>
    <comment ref="I19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Nouvelle valeur 2013 04 en phase avec DAE (diminution des coûts de maintenance et passage en amortissement du résiduel + hausse des prestations, ajout des hypothèses de productivité MO et Œuvres sociales).</t>
        </r>
      </text>
    </comment>
  </commentList>
</comments>
</file>

<file path=xl/comments2.xml><?xml version="1.0" encoding="utf-8"?>
<comments xmlns="http://schemas.openxmlformats.org/spreadsheetml/2006/main">
  <authors>
    <author>Patrick Delaborde</author>
  </authors>
  <commentList>
    <comment ref="AF23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Coefficent calculé sur le modèle initial global, avec 4264,17 de chutes ventilées EC+ Marché et CD à 2,38 et Fgx 1,09 €/kg. Pour arriver à 25$
 </t>
        </r>
      </text>
    </comment>
    <comment ref="AF25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Coefficent calculé sur le modèle initial global, avec 4264,17 de chutes ventilées EC+ Marché et CD à 2,38 et Fgx 1,09 €/kg. Pour arriver à 25$
</t>
        </r>
      </text>
    </comment>
  </commentList>
</comments>
</file>

<file path=xl/comments3.xml><?xml version="1.0" encoding="utf-8"?>
<comments xmlns="http://schemas.openxmlformats.org/spreadsheetml/2006/main">
  <authors>
    <author>Patrick Delaborde</author>
  </authors>
  <commentList>
    <comment ref="AF23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Coefficent calculé sur le modèle initial global, avec 4264,17 de chutes ventilées EC+ Marché et CD à 2,38 et Fgx 1,09 €/kg. Pour arriver à 25$
 </t>
        </r>
      </text>
    </comment>
    <comment ref="AF25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Coefficent calculé sur le modèle initial global, avec 4264,17 de chutes ventilées EC+ Marché et CD à 2,38 et Fgx 1,09 €/kg. Pour arriver à 25$
</t>
        </r>
      </text>
    </comment>
  </commentList>
</comments>
</file>

<file path=xl/sharedStrings.xml><?xml version="1.0" encoding="utf-8"?>
<sst xmlns="http://schemas.openxmlformats.org/spreadsheetml/2006/main" count="589" uniqueCount="220">
  <si>
    <t>Massif</t>
  </si>
  <si>
    <t>Copeaux</t>
  </si>
  <si>
    <t>t</t>
  </si>
  <si>
    <t>k$</t>
  </si>
  <si>
    <t>Chutes Marché Libre</t>
  </si>
  <si>
    <t>Processing</t>
  </si>
  <si>
    <t>Coût du processing copeaux (€/kg) :</t>
  </si>
  <si>
    <t>Coût du processing chutes (€/kg) :</t>
  </si>
  <si>
    <t>Coût du transport aller des copeaux (€/kg) :</t>
  </si>
  <si>
    <t>Coût du transport aller des chutes (€/kg) :</t>
  </si>
  <si>
    <t>Coût du transport retour des copeaux (€/kg) :</t>
  </si>
  <si>
    <t>Coût du transport retour des chutes (€/kg) :</t>
  </si>
  <si>
    <t>Vente perte du processing</t>
  </si>
  <si>
    <t>Total</t>
  </si>
  <si>
    <t>CD</t>
  </si>
  <si>
    <t>Montant</t>
  </si>
  <si>
    <t>FGx</t>
  </si>
  <si>
    <t>Vente chutes</t>
  </si>
  <si>
    <t>CA</t>
  </si>
  <si>
    <t>Vente</t>
  </si>
  <si>
    <t>Année 2020</t>
  </si>
  <si>
    <t>Tonnage lingot</t>
  </si>
  <si>
    <t>$/kg</t>
  </si>
  <si>
    <t>Matières Premières</t>
  </si>
  <si>
    <t>Total Décaissement</t>
  </si>
  <si>
    <t>Tonnes Lingots</t>
  </si>
  <si>
    <t>Marge 1</t>
  </si>
  <si>
    <t>Parité</t>
  </si>
  <si>
    <t>CC</t>
  </si>
  <si>
    <t>Marge  (base 2 CD)</t>
  </si>
  <si>
    <t>Marge Générée</t>
  </si>
  <si>
    <t>Cumul Marge</t>
  </si>
  <si>
    <t>Marge  (base 1,5 CC)</t>
  </si>
  <si>
    <t>Cumul Résultat</t>
  </si>
  <si>
    <t>Marge 2</t>
  </si>
  <si>
    <t>Cible Marge</t>
  </si>
  <si>
    <t>Marge Nécessaire</t>
  </si>
  <si>
    <t>Chutes</t>
  </si>
  <si>
    <t>€/kg</t>
  </si>
  <si>
    <t>Marge Cible</t>
  </si>
  <si>
    <t>Coût Direct</t>
  </si>
  <si>
    <t>Coût Complet</t>
  </si>
  <si>
    <t>Prix de Vente Cible</t>
  </si>
  <si>
    <t>Prix de Vente Possible</t>
  </si>
  <si>
    <t>Mco</t>
  </si>
  <si>
    <t>Chu FeTi</t>
  </si>
  <si>
    <t>Galettes de refusion</t>
  </si>
  <si>
    <t>Rdt</t>
  </si>
  <si>
    <t>Total Massif</t>
  </si>
  <si>
    <t>Total Copeaux</t>
  </si>
  <si>
    <t>Total Chutes</t>
  </si>
  <si>
    <t>Chutes Internes</t>
  </si>
  <si>
    <t>Chutes "Négoce"</t>
  </si>
  <si>
    <t>Processing / Traitement des chutes</t>
  </si>
  <si>
    <t>Coût du processing massifs (€/kg) :</t>
  </si>
  <si>
    <t>Coût du transport aller des massifs (€/kg) :</t>
  </si>
  <si>
    <t>Coût du transport retour des massifs (€/kg) :</t>
  </si>
  <si>
    <t>Rendement Traitement Copeaux</t>
  </si>
  <si>
    <t>Rendement Traitement Massifs</t>
  </si>
  <si>
    <t>Massifs</t>
  </si>
  <si>
    <t>Prix Unitaire</t>
  </si>
  <si>
    <t>Parité € / $</t>
  </si>
  <si>
    <t>Prix Lingot ($/kg)</t>
  </si>
  <si>
    <t>Prix Massif ($/kg)</t>
  </si>
  <si>
    <t>Prix Copeaux ($/kg)</t>
  </si>
  <si>
    <t>Prix Chutes Ferroti ($/kg)</t>
  </si>
  <si>
    <t>Données Marché Libre TA6V</t>
  </si>
  <si>
    <t>Tonnage</t>
  </si>
  <si>
    <t>Prix Total 
(k$)</t>
  </si>
  <si>
    <t>Prix Unitaire 
($/kg)</t>
  </si>
  <si>
    <t>Récupération</t>
  </si>
  <si>
    <t>Coefficient de récupération pour vente de chutes</t>
  </si>
  <si>
    <t>Eponges</t>
  </si>
  <si>
    <t>Master Alloy</t>
  </si>
  <si>
    <t>Indice Eponge</t>
  </si>
  <si>
    <t>Eponges ($/kg)</t>
  </si>
  <si>
    <t>Total MA+Eponges</t>
  </si>
  <si>
    <t>Indice Malloy</t>
  </si>
  <si>
    <t>Marge</t>
  </si>
  <si>
    <t>Chutes Eco Circulaire Client</t>
  </si>
  <si>
    <t>Eponge exploitable</t>
  </si>
  <si>
    <t>Part éponges hors Poussières</t>
  </si>
  <si>
    <t>Malloy V/A 35/65 ($/kg)</t>
  </si>
  <si>
    <t>Complément V %</t>
  </si>
  <si>
    <t>1Kg MA 35V 65A</t>
  </si>
  <si>
    <t>V</t>
  </si>
  <si>
    <t>A</t>
  </si>
  <si>
    <t>Vanadium ($/kg)</t>
  </si>
  <si>
    <t>Exploitation</t>
  </si>
  <si>
    <t>CD (€/kg)</t>
  </si>
  <si>
    <t>Fgx (€/kg)</t>
  </si>
  <si>
    <t>Prix de vente</t>
  </si>
  <si>
    <t>Coût de production hors vente chute</t>
  </si>
  <si>
    <t>Vente Chutes</t>
  </si>
  <si>
    <t>Coût de production</t>
  </si>
  <si>
    <t>Marge ($/kg)</t>
  </si>
  <si>
    <t>Marge (€/kg)</t>
  </si>
  <si>
    <t>Total Enf</t>
  </si>
  <si>
    <t>PaF</t>
  </si>
  <si>
    <t>Rebut Plasma</t>
  </si>
  <si>
    <t>Rebut Var</t>
  </si>
  <si>
    <t>t nettes</t>
  </si>
  <si>
    <t>t écartées</t>
  </si>
  <si>
    <t>Ruplasma</t>
  </si>
  <si>
    <t>Ruvar</t>
  </si>
  <si>
    <t>Galettes</t>
  </si>
  <si>
    <t>Mise à blanc</t>
  </si>
  <si>
    <t>Mise à Blanc</t>
  </si>
  <si>
    <t>Prix Cible</t>
  </si>
  <si>
    <t>Contrat Retour Client</t>
  </si>
  <si>
    <t>Retour Interne Alliages</t>
  </si>
  <si>
    <t>Négoce</t>
  </si>
  <si>
    <t>Tonnage Lingot</t>
  </si>
  <si>
    <t>Avec Achat Chutes Marché</t>
  </si>
  <si>
    <t>Total Chutes hors Chutes Marché</t>
  </si>
  <si>
    <t>Devis 1</t>
  </si>
  <si>
    <t>Devis 2</t>
  </si>
  <si>
    <t>Prix EC</t>
  </si>
  <si>
    <t>Prix Spot</t>
  </si>
  <si>
    <t>Volume EC</t>
  </si>
  <si>
    <t>Volume Spot</t>
  </si>
  <si>
    <t>Prix Devis 2</t>
  </si>
  <si>
    <t>Volume</t>
  </si>
  <si>
    <t>Std 2010-2012</t>
  </si>
  <si>
    <t>Besoin DP</t>
  </si>
  <si>
    <t>Besoin Lingots</t>
  </si>
  <si>
    <t>Massifs UKAD Internes</t>
  </si>
  <si>
    <t>UKAD</t>
  </si>
  <si>
    <t>Branche Alliages</t>
  </si>
  <si>
    <t>Client</t>
  </si>
  <si>
    <t>Code Récupération</t>
  </si>
  <si>
    <t xml:space="preserve">Chutes Récupérées </t>
  </si>
  <si>
    <t>Identifiant</t>
  </si>
  <si>
    <t>Source Lingot</t>
  </si>
  <si>
    <t>N° ordre</t>
  </si>
  <si>
    <t>Marché / Client</t>
  </si>
  <si>
    <t>Finalité</t>
  </si>
  <si>
    <t>PLT Aval Concerné</t>
  </si>
  <si>
    <t>Grade</t>
  </si>
  <si>
    <t>Volume (pds) Référence
(t)</t>
  </si>
  <si>
    <t>Mise à Un
DP=&gt; Lingot</t>
  </si>
  <si>
    <t>DP UKAD
(t)</t>
  </si>
  <si>
    <t>Lingot
(t)</t>
  </si>
  <si>
    <t>Volume Massifs UKAD
(t)</t>
  </si>
  <si>
    <t>Volume Copeaux UKAD
(t)</t>
  </si>
  <si>
    <t>Tarification Chutes UKAD</t>
  </si>
  <si>
    <t>Volume Massifs AD
(t)</t>
  </si>
  <si>
    <t>Volume Copeaux AD
(t)</t>
  </si>
  <si>
    <t>Tarification Chutes AD</t>
  </si>
  <si>
    <t>Volume Massifs Client
(t)</t>
  </si>
  <si>
    <t>Volume Copeaux Client
(t)</t>
  </si>
  <si>
    <t>Tarification Chutes Client</t>
  </si>
  <si>
    <t>Type Lingot Recyclé</t>
  </si>
  <si>
    <t>Massifs
(t)</t>
  </si>
  <si>
    <t>Copeaux
(t)</t>
  </si>
  <si>
    <t>Potentiel Lingot issu recyclage
(t)</t>
  </si>
  <si>
    <t>Besoin Complémentaire Lingots
(t)</t>
  </si>
  <si>
    <t>Codification Prix Lingots</t>
  </si>
  <si>
    <t>UKTMP</t>
  </si>
  <si>
    <t>01</t>
  </si>
  <si>
    <t>Airbus pour AD</t>
  </si>
  <si>
    <t>Contrat Airbus pour AD</t>
  </si>
  <si>
    <t>Structure</t>
  </si>
  <si>
    <t>Marché 1</t>
  </si>
  <si>
    <t>VAR</t>
  </si>
  <si>
    <t>AD PAMIERS</t>
  </si>
  <si>
    <t>SO</t>
  </si>
  <si>
    <t>N/A</t>
  </si>
  <si>
    <t>02</t>
  </si>
  <si>
    <t>Airbus hors AD</t>
  </si>
  <si>
    <t>Contrat Airbus Fasteners hors AD</t>
  </si>
  <si>
    <t>03</t>
  </si>
  <si>
    <t>Boeing</t>
  </si>
  <si>
    <t>Structure Boeing source UKTMP</t>
  </si>
  <si>
    <t>04</t>
  </si>
  <si>
    <t>Autres Avionneurs</t>
  </si>
  <si>
    <t>Autres Structures source UKTMP</t>
  </si>
  <si>
    <t>05</t>
  </si>
  <si>
    <t>Motoristes Pièces</t>
  </si>
  <si>
    <t>Motoristes Pièces source UKTMP</t>
  </si>
  <si>
    <t>06</t>
  </si>
  <si>
    <t>Motoristes Aubes</t>
  </si>
  <si>
    <t>Motoristes Aubes source UKTMP</t>
  </si>
  <si>
    <t>Aval UKAD</t>
  </si>
  <si>
    <t>BA pour UKAD</t>
  </si>
  <si>
    <t>07</t>
  </si>
  <si>
    <t>Médical</t>
  </si>
  <si>
    <t xml:space="preserve">Stainless source UKTMP </t>
  </si>
  <si>
    <t>08</t>
  </si>
  <si>
    <t>CP</t>
  </si>
  <si>
    <t>Corrosion Cp</t>
  </si>
  <si>
    <t>Non Refondu</t>
  </si>
  <si>
    <t>09</t>
  </si>
  <si>
    <t>Contrat Airbus Structure hors AD</t>
  </si>
  <si>
    <t>EcoTi</t>
  </si>
  <si>
    <t>Airbus via EcoTi (DoorFrames)</t>
  </si>
  <si>
    <t>Circ 1</t>
  </si>
  <si>
    <t>Structure hors Airbus source EcoTi</t>
  </si>
  <si>
    <t>Motoristes Pièces source EcoTi Double Melt</t>
  </si>
  <si>
    <t>Moteurs</t>
  </si>
  <si>
    <t>Motoristes Pièces source EcoTi Triple Melt</t>
  </si>
  <si>
    <t>2xVAR</t>
  </si>
  <si>
    <t>Motoristes Aubes source EcoTi</t>
  </si>
  <si>
    <t>Fasteners</t>
  </si>
  <si>
    <t>Fasteners Internes source EcoTI</t>
  </si>
  <si>
    <t>AD BA</t>
  </si>
  <si>
    <t>Stainless source EcoTi</t>
  </si>
  <si>
    <t>TA6V Corrosion</t>
  </si>
  <si>
    <t>Corrosion TA6V source EcoTi</t>
  </si>
  <si>
    <t>Corrosion</t>
  </si>
  <si>
    <t>10</t>
  </si>
  <si>
    <t>DF cadre 35- 37 Premium Aerotech</t>
  </si>
  <si>
    <t>DP Militaire</t>
  </si>
  <si>
    <t>Défense source EcoTi</t>
  </si>
  <si>
    <t>Copeaux Recyclables</t>
  </si>
  <si>
    <t>Chutes Marché</t>
  </si>
  <si>
    <t>Coeff</t>
  </si>
  <si>
    <t>Pour Affaire Devisée :</t>
  </si>
  <si>
    <t>Copeaux Marché</t>
  </si>
  <si>
    <t>Massifs Marché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</si>
</sst>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€&quot;;[Red]\-#,##0\ &quot;€&quot;"/>
    <numFmt numFmtId="43" formatCode="_-* #,##0.00\ _€_-;\-* #,##0.00\ _€_-;_-* &quot;-&quot;??\ _€_-;_-@_-"/>
    <numFmt numFmtId="164" formatCode="0.000"/>
    <numFmt numFmtId="165" formatCode="_-[$$-409]* #,##0.00_ ;_-[$$-409]* \-#,##0.00\ ;_-[$$-409]* &quot;-&quot;??_ ;_-@_ "/>
    <numFmt numFmtId="166" formatCode="_-* #,##0.00\ [$€-40C]_-;\-* #,##0.00\ [$€-40C]_-;_-* &quot;-&quot;??\ [$€-40C]_-;_-@_-"/>
    <numFmt numFmtId="167" formatCode="* #,##0.00&quot; €/kg&quot;"/>
    <numFmt numFmtId="168" formatCode="* #,##0&quot; k€&quot;"/>
    <numFmt numFmtId="169" formatCode="* #,##0.00&quot; $/kg&quot;"/>
    <numFmt numFmtId="170" formatCode="0.000000"/>
    <numFmt numFmtId="173" formatCode="0.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2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name val="Arial"/>
      <family val="2"/>
    </font>
    <font>
      <sz val="10"/>
      <name val="Arial"/>
    </font>
    <font>
      <b/>
      <sz val="12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double">
        <color rgb="FFFF8001"/>
      </bottom>
      <diagonal/>
    </border>
    <border>
      <left/>
      <right/>
      <top style="thin">
        <color indexed="64"/>
      </top>
      <bottom style="double">
        <color rgb="FFFF8001"/>
      </bottom>
      <diagonal/>
    </border>
    <border>
      <left/>
      <right style="thin">
        <color indexed="64"/>
      </right>
      <top style="thin">
        <color indexed="64"/>
      </top>
      <bottom style="double">
        <color rgb="FFFF80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/>
    <xf numFmtId="0" fontId="6" fillId="0" borderId="3" applyNumberFormat="0" applyFill="0" applyAlignment="0" applyProtection="0"/>
    <xf numFmtId="0" fontId="7" fillId="5" borderId="2" applyNumberFormat="0" applyAlignment="0" applyProtection="0"/>
    <xf numFmtId="0" fontId="8" fillId="4" borderId="4" applyNumberFormat="0" applyAlignment="0" applyProtection="0"/>
    <xf numFmtId="0" fontId="9" fillId="6" borderId="5" applyNumberForma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8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29" borderId="18" applyNumberFormat="0" applyAlignment="0" applyProtection="0"/>
    <xf numFmtId="0" fontId="21" fillId="0" borderId="19" applyNumberFormat="0" applyFill="0" applyAlignment="0" applyProtection="0"/>
    <xf numFmtId="0" fontId="17" fillId="30" borderId="20" applyNumberFormat="0" applyFont="0" applyAlignment="0" applyProtection="0"/>
    <xf numFmtId="0" fontId="22" fillId="16" borderId="18" applyNumberFormat="0" applyAlignment="0" applyProtection="0"/>
    <xf numFmtId="0" fontId="23" fillId="12" borderId="0" applyNumberFormat="0" applyBorder="0" applyAlignment="0" applyProtection="0"/>
    <xf numFmtId="0" fontId="24" fillId="31" borderId="0" applyNumberFormat="0" applyBorder="0" applyAlignment="0" applyProtection="0"/>
    <xf numFmtId="0" fontId="25" fillId="13" borderId="0" applyNumberFormat="0" applyBorder="0" applyAlignment="0" applyProtection="0"/>
    <xf numFmtId="0" fontId="26" fillId="29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30" fillId="0" borderId="23" applyNumberFormat="0" applyFill="0" applyAlignment="0" applyProtection="0"/>
    <xf numFmtId="0" fontId="31" fillId="0" borderId="24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5" applyNumberFormat="0" applyFill="0" applyAlignment="0" applyProtection="0"/>
    <xf numFmtId="0" fontId="33" fillId="32" borderId="26" applyNumberFormat="0" applyAlignment="0" applyProtection="0"/>
  </cellStyleXfs>
  <cellXfs count="9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1" fontId="0" fillId="0" borderId="0" xfId="0" applyNumberFormat="1"/>
    <xf numFmtId="164" fontId="0" fillId="3" borderId="0" xfId="0" applyNumberFormat="1" applyFill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0" fillId="2" borderId="0" xfId="0" applyFill="1"/>
    <xf numFmtId="0" fontId="5" fillId="0" borderId="0" xfId="0" applyFon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0" fillId="7" borderId="0" xfId="0" applyFill="1"/>
    <xf numFmtId="164" fontId="0" fillId="0" borderId="0" xfId="0" applyNumberFormat="1" applyFill="1" applyAlignment="1">
      <alignment horizontal="center"/>
    </xf>
    <xf numFmtId="0" fontId="0" fillId="0" borderId="0" xfId="0" applyFill="1"/>
    <xf numFmtId="169" fontId="0" fillId="0" borderId="0" xfId="0" applyNumberFormat="1" applyFill="1"/>
    <xf numFmtId="0" fontId="9" fillId="6" borderId="5" xfId="4"/>
    <xf numFmtId="0" fontId="7" fillId="5" borderId="2" xfId="2"/>
    <xf numFmtId="0" fontId="8" fillId="4" borderId="4" xfId="3"/>
    <xf numFmtId="169" fontId="7" fillId="5" borderId="2" xfId="2" applyNumberFormat="1"/>
    <xf numFmtId="164" fontId="7" fillId="5" borderId="2" xfId="2" applyNumberFormat="1"/>
    <xf numFmtId="167" fontId="7" fillId="5" borderId="2" xfId="2" applyNumberFormat="1"/>
    <xf numFmtId="169" fontId="8" fillId="4" borderId="4" xfId="3" applyNumberFormat="1"/>
    <xf numFmtId="164" fontId="8" fillId="4" borderId="4" xfId="3" applyNumberFormat="1"/>
    <xf numFmtId="167" fontId="8" fillId="4" borderId="4" xfId="3" applyNumberFormat="1"/>
    <xf numFmtId="9" fontId="8" fillId="4" borderId="4" xfId="3" applyNumberFormat="1"/>
    <xf numFmtId="167" fontId="9" fillId="6" borderId="5" xfId="4" applyNumberFormat="1"/>
    <xf numFmtId="169" fontId="9" fillId="6" borderId="5" xfId="4" applyNumberFormat="1"/>
    <xf numFmtId="164" fontId="9" fillId="6" borderId="5" xfId="4" applyNumberFormat="1"/>
    <xf numFmtId="0" fontId="8" fillId="4" borderId="6" xfId="3" applyBorder="1"/>
    <xf numFmtId="169" fontId="8" fillId="4" borderId="6" xfId="3" applyNumberFormat="1" applyBorder="1"/>
    <xf numFmtId="167" fontId="8" fillId="4" borderId="6" xfId="3" applyNumberFormat="1" applyBorder="1"/>
    <xf numFmtId="0" fontId="6" fillId="4" borderId="7" xfId="1" applyFill="1" applyBorder="1"/>
    <xf numFmtId="0" fontId="6" fillId="4" borderId="8" xfId="1" applyFill="1" applyBorder="1"/>
    <xf numFmtId="169" fontId="6" fillId="4" borderId="8" xfId="1" applyNumberFormat="1" applyFill="1" applyBorder="1"/>
    <xf numFmtId="167" fontId="6" fillId="4" borderId="8" xfId="1" applyNumberFormat="1" applyFill="1" applyBorder="1"/>
    <xf numFmtId="9" fontId="6" fillId="4" borderId="9" xfId="1" applyNumberFormat="1" applyFill="1" applyBorder="1"/>
    <xf numFmtId="0" fontId="6" fillId="4" borderId="10" xfId="1" applyFill="1" applyBorder="1"/>
    <xf numFmtId="0" fontId="6" fillId="4" borderId="11" xfId="1" applyFill="1" applyBorder="1"/>
    <xf numFmtId="169" fontId="6" fillId="4" borderId="11" xfId="1" applyNumberFormat="1" applyFill="1" applyBorder="1"/>
    <xf numFmtId="167" fontId="6" fillId="4" borderId="11" xfId="1" applyNumberFormat="1" applyFill="1" applyBorder="1"/>
    <xf numFmtId="9" fontId="6" fillId="4" borderId="12" xfId="1" applyNumberFormat="1" applyFill="1" applyBorder="1"/>
    <xf numFmtId="1" fontId="0" fillId="0" borderId="0" xfId="0" applyNumberFormat="1"/>
    <xf numFmtId="170" fontId="0" fillId="0" borderId="0" xfId="0" applyNumberFormat="1"/>
    <xf numFmtId="0" fontId="10" fillId="0" borderId="0" xfId="0" applyFont="1"/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8" borderId="1" xfId="0" applyFill="1" applyBorder="1"/>
    <xf numFmtId="2" fontId="0" fillId="9" borderId="0" xfId="0" applyNumberFormat="1" applyFill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43" fontId="0" fillId="9" borderId="0" xfId="5" applyNumberFormat="1" applyFont="1" applyFill="1" applyAlignment="1">
      <alignment horizontal="right"/>
    </xf>
    <xf numFmtId="43" fontId="0" fillId="0" borderId="0" xfId="5" applyNumberFormat="1" applyFont="1"/>
    <xf numFmtId="43" fontId="0" fillId="9" borderId="0" xfId="5" applyNumberFormat="1" applyFont="1" applyFill="1"/>
    <xf numFmtId="9" fontId="0" fillId="2" borderId="1" xfId="6" applyFont="1" applyFill="1" applyBorder="1" applyAlignment="1">
      <alignment horizontal="center"/>
    </xf>
    <xf numFmtId="9" fontId="0" fillId="0" borderId="0" xfId="6" applyFont="1"/>
    <xf numFmtId="0" fontId="5" fillId="0" borderId="1" xfId="0" applyFont="1" applyBorder="1"/>
    <xf numFmtId="6" fontId="0" fillId="0" borderId="1" xfId="0" applyNumberFormat="1" applyBorder="1"/>
    <xf numFmtId="2" fontId="0" fillId="2" borderId="1" xfId="6" applyNumberFormat="1" applyFont="1" applyFill="1" applyBorder="1" applyAlignment="1">
      <alignment horizontal="center"/>
    </xf>
    <xf numFmtId="0" fontId="13" fillId="0" borderId="0" xfId="0" applyFont="1"/>
    <xf numFmtId="164" fontId="0" fillId="0" borderId="0" xfId="0" applyNumberFormat="1"/>
    <xf numFmtId="165" fontId="0" fillId="2" borderId="1" xfId="6" applyNumberFormat="1" applyFont="1" applyFill="1" applyBorder="1" applyAlignment="1">
      <alignment horizontal="center"/>
    </xf>
    <xf numFmtId="0" fontId="0" fillId="0" borderId="0" xfId="0" applyBorder="1" applyAlignment="1">
      <alignment vertical="center"/>
    </xf>
    <xf numFmtId="2" fontId="0" fillId="10" borderId="0" xfId="0" applyNumberFormat="1" applyFill="1" applyBorder="1" applyAlignment="1">
      <alignment horizontal="center"/>
    </xf>
    <xf numFmtId="164" fontId="5" fillId="3" borderId="0" xfId="0" applyNumberFormat="1" applyFont="1" applyFill="1" applyAlignment="1">
      <alignment horizontal="center"/>
    </xf>
    <xf numFmtId="0" fontId="5" fillId="7" borderId="0" xfId="0" applyFont="1" applyFill="1"/>
    <xf numFmtId="0" fontId="5" fillId="0" borderId="1" xfId="0" applyFont="1" applyBorder="1" applyAlignment="1">
      <alignment wrapText="1"/>
    </xf>
    <xf numFmtId="0" fontId="5" fillId="0" borderId="0" xfId="0" applyFont="1" applyFill="1" applyBorder="1"/>
    <xf numFmtId="166" fontId="0" fillId="8" borderId="1" xfId="0" applyNumberFormat="1" applyFill="1" applyBorder="1"/>
    <xf numFmtId="0" fontId="5" fillId="0" borderId="1" xfId="0" applyFont="1" applyFill="1" applyBorder="1"/>
    <xf numFmtId="10" fontId="0" fillId="8" borderId="1" xfId="6" applyNumberFormat="1" applyFont="1" applyFill="1" applyBorder="1"/>
    <xf numFmtId="2" fontId="5" fillId="10" borderId="0" xfId="0" applyNumberFormat="1" applyFont="1" applyFill="1" applyAlignment="1">
      <alignment horizontal="center"/>
    </xf>
    <xf numFmtId="0" fontId="4" fillId="0" borderId="0" xfId="0" applyFont="1" applyAlignment="1">
      <alignment wrapText="1"/>
    </xf>
    <xf numFmtId="164" fontId="4" fillId="0" borderId="0" xfId="0" applyNumberFormat="1" applyFont="1"/>
    <xf numFmtId="0" fontId="0" fillId="0" borderId="1" xfId="0" applyBorder="1" applyAlignment="1">
      <alignment vertical="center"/>
    </xf>
    <xf numFmtId="0" fontId="16" fillId="8" borderId="1" xfId="0" applyFont="1" applyFill="1" applyBorder="1"/>
    <xf numFmtId="0" fontId="1" fillId="0" borderId="0" xfId="7"/>
    <xf numFmtId="0" fontId="1" fillId="0" borderId="0" xfId="7" applyAlignment="1">
      <alignment horizontal="center"/>
    </xf>
    <xf numFmtId="0" fontId="1" fillId="0" borderId="0" xfId="7" applyAlignment="1">
      <alignment horizontal="center"/>
    </xf>
    <xf numFmtId="0" fontId="1" fillId="0" borderId="0" xfId="7" applyAlignment="1">
      <alignment wrapText="1"/>
    </xf>
    <xf numFmtId="0" fontId="1" fillId="3" borderId="0" xfId="7" applyFill="1" applyAlignment="1">
      <alignment wrapText="1"/>
    </xf>
    <xf numFmtId="0" fontId="1" fillId="7" borderId="0" xfId="7" applyFill="1" applyAlignment="1">
      <alignment wrapText="1"/>
    </xf>
    <xf numFmtId="0" fontId="1" fillId="0" borderId="0" xfId="7" quotePrefix="1"/>
    <xf numFmtId="2" fontId="1" fillId="0" borderId="0" xfId="7" applyNumberFormat="1"/>
    <xf numFmtId="11" fontId="1" fillId="0" borderId="0" xfId="7" applyNumberFormat="1"/>
    <xf numFmtId="0" fontId="5" fillId="0" borderId="0" xfId="0" applyFont="1" applyAlignment="1">
      <alignment horizontal="right"/>
    </xf>
    <xf numFmtId="173" fontId="0" fillId="0" borderId="0" xfId="0" applyNumberFormat="1"/>
  </cellXfs>
  <cellStyles count="49">
    <cellStyle name="20 % - Accent1 2" xfId="8"/>
    <cellStyle name="20 % - Accent2 2" xfId="9"/>
    <cellStyle name="20 % - Accent3 2" xfId="10"/>
    <cellStyle name="20 % - Accent4 2" xfId="11"/>
    <cellStyle name="20 % - Accent5 2" xfId="12"/>
    <cellStyle name="20 % - Accent6 2" xfId="13"/>
    <cellStyle name="40 % - Accent1 2" xfId="14"/>
    <cellStyle name="40 % - Accent2 2" xfId="15"/>
    <cellStyle name="40 % - Accent3 2" xfId="16"/>
    <cellStyle name="40 % - Accent4 2" xfId="17"/>
    <cellStyle name="40 % - Accent5 2" xfId="18"/>
    <cellStyle name="40 % - Accent6 2" xfId="19"/>
    <cellStyle name="60 % - Accent1 2" xfId="20"/>
    <cellStyle name="60 % - Accent2 2" xfId="21"/>
    <cellStyle name="60 % - Accent3 2" xfId="22"/>
    <cellStyle name="60 % - Accent4 2" xfId="23"/>
    <cellStyle name="60 % - Accent5 2" xfId="24"/>
    <cellStyle name="60 % - Accent6 2" xfId="25"/>
    <cellStyle name="Accent1 2" xfId="26"/>
    <cellStyle name="Accent2 2" xfId="27"/>
    <cellStyle name="Accent3 2" xfId="28"/>
    <cellStyle name="Accent4 2" xfId="29"/>
    <cellStyle name="Accent5 2" xfId="30"/>
    <cellStyle name="Accent6 2" xfId="31"/>
    <cellStyle name="Avertissement 2" xfId="32"/>
    <cellStyle name="Calcul 2" xfId="33"/>
    <cellStyle name="Cellule liée" xfId="1" builtinId="24"/>
    <cellStyle name="Cellule liée 2" xfId="34"/>
    <cellStyle name="Commentaire 2" xfId="35"/>
    <cellStyle name="Entrée" xfId="2" builtinId="20"/>
    <cellStyle name="Entrée 2" xfId="36"/>
    <cellStyle name="Insatisfaisant 2" xfId="37"/>
    <cellStyle name="Milliers" xfId="5" builtinId="3"/>
    <cellStyle name="Neutre 2" xfId="38"/>
    <cellStyle name="Normal" xfId="0" builtinId="0"/>
    <cellStyle name="Normal 2" xfId="7"/>
    <cellStyle name="Pourcentage" xfId="6" builtinId="5"/>
    <cellStyle name="Satisfaisant 2" xfId="39"/>
    <cellStyle name="Sortie" xfId="3" builtinId="21"/>
    <cellStyle name="Sortie 2" xfId="40"/>
    <cellStyle name="Texte explicatif 2" xfId="41"/>
    <cellStyle name="Titre 2" xfId="42"/>
    <cellStyle name="Titre 1 2" xfId="43"/>
    <cellStyle name="Titre 2 2" xfId="44"/>
    <cellStyle name="Titre 3 2" xfId="45"/>
    <cellStyle name="Titre 4 2" xfId="46"/>
    <cellStyle name="Total 2" xfId="47"/>
    <cellStyle name="Vérification" xfId="4" builtinId="23"/>
    <cellStyle name="Vérification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4%2006%20DAE/2014%2007%2030%20DAE%20%20Mod&#232;le%20Business%20Plan%20Affin&#233;%20%20v6%20%20Chutes%200.38%200.2%20Rdt%20%2010%20et%2025%20%25%20CVA%20r&#233;a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Paramétrage"/>
      <sheetName val="Marchés et Chutes"/>
      <sheetName val="Prix Lingots et Chutes"/>
      <sheetName val="Negoce Chutes"/>
      <sheetName val="Outil BP"/>
      <sheetName val="BP"/>
      <sheetName val="Lingots"/>
      <sheetName val="DP UKAD"/>
      <sheetName val="Massifs"/>
      <sheetName val="Copeaux"/>
      <sheetName val="Potentiel Perdu"/>
      <sheetName val="Transfert"/>
      <sheetName val="Synthèse 2022 Pour DAE"/>
      <sheetName val="Ref Cor17,55 25$ 0,5 0,3 1,4 €$"/>
      <sheetName val="Ref Cor 16,7 25$ 0,5 0,3 1,4€$ "/>
      <sheetName val="TCD Synthèse Marché"/>
      <sheetName val="Ver UKAD"/>
      <sheetName val="Vérification Lingots"/>
      <sheetName val="DF cadre 35 37"/>
      <sheetName val="Synt Annuelle Eco TI"/>
      <sheetName val="Feuil2"/>
    </sheetNames>
    <sheetDataSet>
      <sheetData sheetId="0"/>
      <sheetData sheetId="1">
        <row r="5">
          <cell r="A5" t="str">
            <v>UKAD</v>
          </cell>
          <cell r="B5">
            <v>1</v>
          </cell>
          <cell r="C5">
            <v>0.5</v>
          </cell>
        </row>
        <row r="6">
          <cell r="A6" t="str">
            <v>BA pour UKAD</v>
          </cell>
          <cell r="B6">
            <v>0.9</v>
          </cell>
          <cell r="C6">
            <v>0</v>
          </cell>
        </row>
        <row r="7">
          <cell r="A7" t="str">
            <v>AD ANC</v>
          </cell>
          <cell r="B7">
            <v>0.95</v>
          </cell>
          <cell r="C7">
            <v>0</v>
          </cell>
        </row>
        <row r="8">
          <cell r="A8" t="str">
            <v>AD BA</v>
          </cell>
          <cell r="B8">
            <v>0.9</v>
          </cell>
          <cell r="C8">
            <v>0</v>
          </cell>
        </row>
        <row r="9">
          <cell r="A9" t="str">
            <v>AD PAMIERS</v>
          </cell>
          <cell r="B9">
            <v>0.95</v>
          </cell>
          <cell r="C9">
            <v>0.9</v>
          </cell>
        </row>
        <row r="10">
          <cell r="A10" t="str">
            <v>Client</v>
          </cell>
          <cell r="B10">
            <v>1</v>
          </cell>
          <cell r="C10">
            <v>1</v>
          </cell>
        </row>
        <row r="11">
          <cell r="A11" t="str">
            <v>SO</v>
          </cell>
          <cell r="B11">
            <v>0</v>
          </cell>
          <cell r="C11">
            <v>0</v>
          </cell>
        </row>
        <row r="25">
          <cell r="A25" t="str">
            <v>Identifiant</v>
          </cell>
          <cell r="B25" t="str">
            <v>Massifs
1 kg chutes =&gt; x kg lingot recyclé</v>
          </cell>
          <cell r="C25" t="str">
            <v>Copeaux
1 kg chutes =&gt; x kg lingot recyclé</v>
          </cell>
          <cell r="D25" t="str">
            <v>Type refusion</v>
          </cell>
          <cell r="E25" t="str">
            <v>Année</v>
          </cell>
        </row>
        <row r="26">
          <cell r="A26" t="str">
            <v>Non Refondu - 2012</v>
          </cell>
          <cell r="B26">
            <v>1.0149999999999999</v>
          </cell>
          <cell r="C26">
            <v>0.84599999999999997</v>
          </cell>
          <cell r="D26" t="str">
            <v>Non Refondu</v>
          </cell>
          <cell r="E26">
            <v>2012</v>
          </cell>
        </row>
        <row r="27">
          <cell r="A27" t="str">
            <v>Non Refondu - 2013</v>
          </cell>
          <cell r="B27">
            <v>1.0149999999999999</v>
          </cell>
          <cell r="C27">
            <v>0.84599999999999997</v>
          </cell>
          <cell r="D27" t="str">
            <v>Non Refondu</v>
          </cell>
          <cell r="E27">
            <v>2013</v>
          </cell>
        </row>
        <row r="28">
          <cell r="A28" t="str">
            <v>Non Refondu - 2014</v>
          </cell>
          <cell r="B28">
            <v>1.0149999999999999</v>
          </cell>
          <cell r="C28">
            <v>0.84599999999999997</v>
          </cell>
          <cell r="D28" t="str">
            <v>Non Refondu</v>
          </cell>
          <cell r="E28">
            <v>2014</v>
          </cell>
        </row>
        <row r="29">
          <cell r="A29" t="str">
            <v>Non Refondu - 2015</v>
          </cell>
          <cell r="B29">
            <v>1.0149999999999999</v>
          </cell>
          <cell r="C29">
            <v>0.84599999999999997</v>
          </cell>
          <cell r="D29" t="str">
            <v>Non Refondu</v>
          </cell>
          <cell r="E29">
            <v>2015</v>
          </cell>
        </row>
        <row r="30">
          <cell r="A30" t="str">
            <v>Non Refondu - 2016</v>
          </cell>
          <cell r="B30">
            <v>1.0149999999999999</v>
          </cell>
          <cell r="C30">
            <v>0.84599999999999997</v>
          </cell>
          <cell r="D30" t="str">
            <v>Non Refondu</v>
          </cell>
          <cell r="E30">
            <v>2016</v>
          </cell>
        </row>
        <row r="31">
          <cell r="A31" t="str">
            <v>Non Refondu - 2017</v>
          </cell>
          <cell r="B31">
            <v>1.0149999999999999</v>
          </cell>
          <cell r="C31">
            <v>0.84599999999999997</v>
          </cell>
          <cell r="D31" t="str">
            <v>Non Refondu</v>
          </cell>
          <cell r="E31">
            <v>2017</v>
          </cell>
        </row>
        <row r="32">
          <cell r="A32" t="str">
            <v>Non Refondu - 2018</v>
          </cell>
          <cell r="B32">
            <v>1.0369999999999999</v>
          </cell>
          <cell r="C32">
            <v>0.86399999999999999</v>
          </cell>
          <cell r="D32" t="str">
            <v>Non Refondu</v>
          </cell>
          <cell r="E32">
            <v>2018</v>
          </cell>
        </row>
        <row r="33">
          <cell r="A33" t="str">
            <v>Non Refondu - 2019</v>
          </cell>
          <cell r="B33">
            <v>1.0589999999999999</v>
          </cell>
          <cell r="C33">
            <v>0.88300000000000001</v>
          </cell>
          <cell r="D33" t="str">
            <v>Non Refondu</v>
          </cell>
          <cell r="E33">
            <v>2019</v>
          </cell>
        </row>
        <row r="34">
          <cell r="A34" t="str">
            <v>Non Refondu - 2020</v>
          </cell>
          <cell r="B34">
            <v>1.083</v>
          </cell>
          <cell r="C34">
            <v>0.90200000000000002</v>
          </cell>
          <cell r="D34" t="str">
            <v>Non Refondu</v>
          </cell>
          <cell r="E34">
            <v>2020</v>
          </cell>
        </row>
        <row r="35">
          <cell r="A35" t="str">
            <v>Non Refondu - 2021</v>
          </cell>
          <cell r="B35">
            <v>1.0820000000000001</v>
          </cell>
          <cell r="C35">
            <v>0.90200000000000002</v>
          </cell>
          <cell r="D35" t="str">
            <v>Non Refondu</v>
          </cell>
          <cell r="E35">
            <v>2021</v>
          </cell>
        </row>
        <row r="36">
          <cell r="A36" t="str">
            <v>Non Refondu - 2022</v>
          </cell>
          <cell r="B36">
            <v>1.0820000000000001</v>
          </cell>
          <cell r="C36">
            <v>0.90200000000000002</v>
          </cell>
          <cell r="D36" t="str">
            <v>Non Refondu</v>
          </cell>
          <cell r="E36">
            <v>2022</v>
          </cell>
        </row>
        <row r="37">
          <cell r="A37" t="str">
            <v>Non Refondu - 2023</v>
          </cell>
          <cell r="B37">
            <v>1.0820000000000001</v>
          </cell>
          <cell r="C37">
            <v>0.90200000000000002</v>
          </cell>
          <cell r="D37" t="str">
            <v>Non Refondu</v>
          </cell>
          <cell r="E37">
            <v>2023</v>
          </cell>
        </row>
        <row r="38">
          <cell r="A38" t="str">
            <v>Non Refondu - 2024</v>
          </cell>
          <cell r="B38">
            <v>1.0820000000000001</v>
          </cell>
          <cell r="C38">
            <v>0.90200000000000002</v>
          </cell>
          <cell r="D38" t="str">
            <v>Non Refondu</v>
          </cell>
          <cell r="E38">
            <v>2024</v>
          </cell>
        </row>
        <row r="39">
          <cell r="A39" t="str">
            <v>Non Refondu - 2025</v>
          </cell>
          <cell r="B39">
            <v>1.0820000000000001</v>
          </cell>
          <cell r="C39">
            <v>0.90200000000000002</v>
          </cell>
          <cell r="D39" t="str">
            <v>Non Refondu</v>
          </cell>
          <cell r="E39">
            <v>2025</v>
          </cell>
        </row>
        <row r="40">
          <cell r="A40" t="str">
            <v>VAR - 2012</v>
          </cell>
          <cell r="B40">
            <v>0.94</v>
          </cell>
          <cell r="C40">
            <v>0.78500000000000003</v>
          </cell>
          <cell r="D40" t="str">
            <v>VAR</v>
          </cell>
          <cell r="E40">
            <v>2012</v>
          </cell>
        </row>
        <row r="41">
          <cell r="A41" t="str">
            <v>VAR - 2013</v>
          </cell>
          <cell r="B41">
            <v>0.94</v>
          </cell>
          <cell r="C41">
            <v>0.78500000000000003</v>
          </cell>
          <cell r="D41" t="str">
            <v>VAR</v>
          </cell>
          <cell r="E41">
            <v>2013</v>
          </cell>
        </row>
        <row r="42">
          <cell r="A42" t="str">
            <v>VAR - 2014</v>
          </cell>
          <cell r="B42">
            <v>0.94</v>
          </cell>
          <cell r="C42">
            <v>0.78500000000000003</v>
          </cell>
          <cell r="D42" t="str">
            <v>VAR</v>
          </cell>
          <cell r="E42">
            <v>2014</v>
          </cell>
        </row>
        <row r="43">
          <cell r="A43" t="str">
            <v>VAR - 2015</v>
          </cell>
          <cell r="B43">
            <v>0.94</v>
          </cell>
          <cell r="C43">
            <v>0.78500000000000003</v>
          </cell>
          <cell r="D43" t="str">
            <v>VAR</v>
          </cell>
          <cell r="E43">
            <v>2015</v>
          </cell>
        </row>
        <row r="44">
          <cell r="A44" t="str">
            <v>VAR - 2016</v>
          </cell>
          <cell r="B44">
            <v>0.94</v>
          </cell>
          <cell r="C44">
            <v>0.78500000000000003</v>
          </cell>
          <cell r="D44" t="str">
            <v>VAR</v>
          </cell>
          <cell r="E44">
            <v>2016</v>
          </cell>
        </row>
        <row r="45">
          <cell r="A45" t="str">
            <v>VAR - 2017</v>
          </cell>
          <cell r="B45">
            <v>0.94</v>
          </cell>
          <cell r="C45">
            <v>0.78500000000000003</v>
          </cell>
          <cell r="D45" t="str">
            <v>VAR</v>
          </cell>
          <cell r="E45">
            <v>2017</v>
          </cell>
        </row>
        <row r="46">
          <cell r="A46" t="str">
            <v>VAR - 2018</v>
          </cell>
          <cell r="B46">
            <v>0.97099999999999997</v>
          </cell>
          <cell r="C46">
            <v>0.81100000000000005</v>
          </cell>
          <cell r="D46" t="str">
            <v>VAR</v>
          </cell>
          <cell r="E46">
            <v>2018</v>
          </cell>
        </row>
        <row r="47">
          <cell r="A47" t="str">
            <v>VAR - 2019</v>
          </cell>
          <cell r="B47">
            <v>1.004</v>
          </cell>
          <cell r="C47">
            <v>0.83899999999999997</v>
          </cell>
          <cell r="D47" t="str">
            <v>VAR</v>
          </cell>
          <cell r="E47">
            <v>2019</v>
          </cell>
        </row>
        <row r="48">
          <cell r="A48" t="str">
            <v>VAR - 2020</v>
          </cell>
          <cell r="B48">
            <v>1.0369999999999999</v>
          </cell>
          <cell r="C48">
            <v>0.86599999999999999</v>
          </cell>
          <cell r="D48" t="str">
            <v>VAR</v>
          </cell>
          <cell r="E48">
            <v>2020</v>
          </cell>
        </row>
        <row r="49">
          <cell r="A49" t="str">
            <v>VAR - 2021</v>
          </cell>
          <cell r="B49">
            <v>1.0469999999999999</v>
          </cell>
          <cell r="C49">
            <v>0.874</v>
          </cell>
          <cell r="D49" t="str">
            <v>VAR</v>
          </cell>
          <cell r="E49">
            <v>2021</v>
          </cell>
        </row>
        <row r="50">
          <cell r="A50" t="str">
            <v>VAR - 2022</v>
          </cell>
          <cell r="B50">
            <v>1.0469999999999999</v>
          </cell>
          <cell r="C50">
            <v>0.874</v>
          </cell>
          <cell r="D50" t="str">
            <v>VAR</v>
          </cell>
          <cell r="E50">
            <v>2022</v>
          </cell>
        </row>
        <row r="51">
          <cell r="A51" t="str">
            <v>VAR - 2023</v>
          </cell>
          <cell r="B51">
            <v>1.0469999999999999</v>
          </cell>
          <cell r="C51">
            <v>0.874</v>
          </cell>
          <cell r="D51" t="str">
            <v>VAR</v>
          </cell>
          <cell r="E51">
            <v>2023</v>
          </cell>
        </row>
        <row r="52">
          <cell r="A52" t="str">
            <v>VAR - 2024</v>
          </cell>
          <cell r="B52">
            <v>1.0469999999999999</v>
          </cell>
          <cell r="C52">
            <v>0.874</v>
          </cell>
          <cell r="D52" t="str">
            <v>VAR</v>
          </cell>
          <cell r="E52">
            <v>2024</v>
          </cell>
        </row>
        <row r="53">
          <cell r="A53" t="str">
            <v>VAR - 2025</v>
          </cell>
          <cell r="B53">
            <v>1.0469999999999999</v>
          </cell>
          <cell r="C53">
            <v>0.874</v>
          </cell>
          <cell r="D53" t="str">
            <v>VAR</v>
          </cell>
          <cell r="E53">
            <v>2025</v>
          </cell>
        </row>
        <row r="54">
          <cell r="A54" t="str">
            <v>2xVAR - 2012</v>
          </cell>
          <cell r="B54">
            <v>0.88500000000000001</v>
          </cell>
          <cell r="C54">
            <v>0.73899999999999999</v>
          </cell>
          <cell r="D54" t="str">
            <v>2xVAR</v>
          </cell>
          <cell r="E54">
            <v>2012</v>
          </cell>
        </row>
        <row r="55">
          <cell r="A55" t="str">
            <v>2xVAR - 2013</v>
          </cell>
          <cell r="B55">
            <v>0.88500000000000001</v>
          </cell>
          <cell r="C55">
            <v>0.73899999999999999</v>
          </cell>
          <cell r="D55" t="str">
            <v>2xVAR</v>
          </cell>
          <cell r="E55">
            <v>2013</v>
          </cell>
        </row>
        <row r="56">
          <cell r="A56" t="str">
            <v>2xVAR - 2014</v>
          </cell>
          <cell r="B56">
            <v>0.88500000000000001</v>
          </cell>
          <cell r="C56">
            <v>0.73899999999999999</v>
          </cell>
          <cell r="D56" t="str">
            <v>2xVAR</v>
          </cell>
          <cell r="E56">
            <v>2014</v>
          </cell>
        </row>
        <row r="57">
          <cell r="A57" t="str">
            <v>2xVAR - 2015</v>
          </cell>
          <cell r="B57">
            <v>0.88500000000000001</v>
          </cell>
          <cell r="C57">
            <v>0.73899999999999999</v>
          </cell>
          <cell r="D57" t="str">
            <v>2xVAR</v>
          </cell>
          <cell r="E57">
            <v>2015</v>
          </cell>
        </row>
        <row r="58">
          <cell r="A58" t="str">
            <v>2xVAR - 2016</v>
          </cell>
          <cell r="B58">
            <v>0.88500000000000001</v>
          </cell>
          <cell r="C58">
            <v>0.73899999999999999</v>
          </cell>
          <cell r="D58" t="str">
            <v>2xVAR</v>
          </cell>
          <cell r="E58">
            <v>2016</v>
          </cell>
        </row>
        <row r="59">
          <cell r="A59" t="str">
            <v>2xVAR - 2017</v>
          </cell>
          <cell r="B59">
            <v>0.88500000000000001</v>
          </cell>
          <cell r="C59">
            <v>0.73899999999999999</v>
          </cell>
          <cell r="D59" t="str">
            <v>2xVAR</v>
          </cell>
          <cell r="E59">
            <v>2017</v>
          </cell>
        </row>
        <row r="60">
          <cell r="A60" t="str">
            <v>2xVAR - 2018</v>
          </cell>
          <cell r="B60">
            <v>0.92400000000000004</v>
          </cell>
          <cell r="C60">
            <v>0.77100000000000002</v>
          </cell>
          <cell r="D60" t="str">
            <v>2xVAR</v>
          </cell>
          <cell r="E60">
            <v>2018</v>
          </cell>
        </row>
        <row r="61">
          <cell r="A61" t="str">
            <v>2xVAR - 2019</v>
          </cell>
          <cell r="B61">
            <v>0.96399999999999997</v>
          </cell>
          <cell r="C61">
            <v>0.80500000000000005</v>
          </cell>
          <cell r="D61" t="str">
            <v>2xVAR</v>
          </cell>
          <cell r="E61">
            <v>2019</v>
          </cell>
        </row>
        <row r="62">
          <cell r="A62" t="str">
            <v>2xVAR - 2020</v>
          </cell>
          <cell r="B62">
            <v>1.0069999999999999</v>
          </cell>
          <cell r="C62">
            <v>0.84099999999999997</v>
          </cell>
          <cell r="D62" t="str">
            <v>2xVAR</v>
          </cell>
          <cell r="E62">
            <v>2020</v>
          </cell>
        </row>
        <row r="63">
          <cell r="A63" t="str">
            <v>2xVAR - 2021</v>
          </cell>
          <cell r="B63">
            <v>1.026</v>
          </cell>
          <cell r="C63">
            <v>0.85699999999999998</v>
          </cell>
          <cell r="D63" t="str">
            <v>2xVAR</v>
          </cell>
          <cell r="E63">
            <v>2021</v>
          </cell>
        </row>
        <row r="64">
          <cell r="A64" t="str">
            <v>2xVAR - 2022</v>
          </cell>
          <cell r="B64">
            <v>1.026</v>
          </cell>
          <cell r="C64">
            <v>0.85699999999999998</v>
          </cell>
          <cell r="D64" t="str">
            <v>2xVAR</v>
          </cell>
          <cell r="E64">
            <v>2022</v>
          </cell>
        </row>
        <row r="65">
          <cell r="A65" t="str">
            <v>2xVAR - 2023</v>
          </cell>
          <cell r="B65">
            <v>1.026</v>
          </cell>
          <cell r="C65">
            <v>0.85699999999999998</v>
          </cell>
          <cell r="D65" t="str">
            <v>2xVAR</v>
          </cell>
          <cell r="E65">
            <v>2023</v>
          </cell>
        </row>
        <row r="66">
          <cell r="A66" t="str">
            <v>2xVAR - 2024</v>
          </cell>
          <cell r="B66">
            <v>1.026</v>
          </cell>
          <cell r="C66">
            <v>0.85699999999999998</v>
          </cell>
          <cell r="D66" t="str">
            <v>2xVAR</v>
          </cell>
          <cell r="E66">
            <v>2024</v>
          </cell>
        </row>
        <row r="67">
          <cell r="A67" t="str">
            <v>2xVAR - 2025</v>
          </cell>
          <cell r="B67">
            <v>1.026</v>
          </cell>
          <cell r="C67">
            <v>0.85699999999999998</v>
          </cell>
          <cell r="D67" t="str">
            <v>2xVAR</v>
          </cell>
          <cell r="E67">
            <v>2025</v>
          </cell>
        </row>
      </sheetData>
      <sheetData sheetId="2"/>
      <sheetData sheetId="3">
        <row r="3">
          <cell r="A3" t="str">
            <v>Lingot
$/kg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 t="str">
            <v>Année</v>
          </cell>
          <cell r="B4">
            <v>2012</v>
          </cell>
          <cell r="C4">
            <v>2013</v>
          </cell>
          <cell r="D4">
            <v>2014</v>
          </cell>
          <cell r="E4">
            <v>2015</v>
          </cell>
          <cell r="F4">
            <v>2016</v>
          </cell>
          <cell r="G4">
            <v>2017</v>
          </cell>
          <cell r="H4">
            <v>2018</v>
          </cell>
          <cell r="I4">
            <v>2019</v>
          </cell>
          <cell r="J4">
            <v>2020</v>
          </cell>
          <cell r="K4">
            <v>2021</v>
          </cell>
          <cell r="L4">
            <v>2022</v>
          </cell>
          <cell r="M4">
            <v>2023</v>
          </cell>
          <cell r="N4">
            <v>2024</v>
          </cell>
          <cell r="O4">
            <v>2025</v>
          </cell>
        </row>
        <row r="5">
          <cell r="A5" t="str">
            <v>Evol Px Vente Marché</v>
          </cell>
          <cell r="C5">
            <v>1</v>
          </cell>
          <cell r="D5">
            <v>1</v>
          </cell>
          <cell r="E5">
            <v>1</v>
          </cell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  <cell r="L5">
            <v>1</v>
          </cell>
          <cell r="M5">
            <v>1</v>
          </cell>
          <cell r="N5">
            <v>1</v>
          </cell>
          <cell r="O5">
            <v>1</v>
          </cell>
        </row>
        <row r="6">
          <cell r="A6" t="str">
            <v>Marché 1</v>
          </cell>
          <cell r="B6">
            <v>24.77</v>
          </cell>
          <cell r="C6">
            <v>24.77</v>
          </cell>
          <cell r="D6">
            <v>24.77</v>
          </cell>
          <cell r="E6">
            <v>24.77</v>
          </cell>
          <cell r="F6">
            <v>24.77</v>
          </cell>
          <cell r="G6">
            <v>24.77</v>
          </cell>
          <cell r="H6">
            <v>24.77</v>
          </cell>
          <cell r="I6">
            <v>24.77</v>
          </cell>
          <cell r="J6">
            <v>24.77</v>
          </cell>
          <cell r="K6">
            <v>24.77</v>
          </cell>
          <cell r="L6">
            <v>24.77</v>
          </cell>
          <cell r="M6">
            <v>24.77</v>
          </cell>
          <cell r="N6">
            <v>24.77</v>
          </cell>
          <cell r="O6">
            <v>24.77</v>
          </cell>
        </row>
        <row r="7">
          <cell r="A7" t="str">
            <v>Evol PX Vente Circ 1</v>
          </cell>
          <cell r="C7">
            <v>1</v>
          </cell>
          <cell r="D7">
            <v>1</v>
          </cell>
          <cell r="E7">
            <v>1</v>
          </cell>
          <cell r="F7">
            <v>1</v>
          </cell>
          <cell r="G7">
            <v>1</v>
          </cell>
          <cell r="H7">
            <v>1</v>
          </cell>
          <cell r="I7">
            <v>1</v>
          </cell>
          <cell r="J7">
            <v>1</v>
          </cell>
          <cell r="K7">
            <v>1</v>
          </cell>
          <cell r="L7">
            <v>1</v>
          </cell>
          <cell r="M7">
            <v>1</v>
          </cell>
          <cell r="N7">
            <v>1</v>
          </cell>
          <cell r="O7">
            <v>1</v>
          </cell>
        </row>
        <row r="8">
          <cell r="A8" t="str">
            <v>Circ 1</v>
          </cell>
          <cell r="B8">
            <v>15.5</v>
          </cell>
          <cell r="C8">
            <v>15.5</v>
          </cell>
          <cell r="D8">
            <v>15.5</v>
          </cell>
          <cell r="E8">
            <v>15.5</v>
          </cell>
          <cell r="F8">
            <v>15.5</v>
          </cell>
          <cell r="G8">
            <v>15.5</v>
          </cell>
          <cell r="H8">
            <v>15.5</v>
          </cell>
          <cell r="I8">
            <v>15.5</v>
          </cell>
          <cell r="J8">
            <v>15.5</v>
          </cell>
          <cell r="K8">
            <v>15.5</v>
          </cell>
          <cell r="L8">
            <v>15.5</v>
          </cell>
          <cell r="M8">
            <v>15.5</v>
          </cell>
          <cell r="N8">
            <v>15.5</v>
          </cell>
          <cell r="O8">
            <v>15.5</v>
          </cell>
        </row>
        <row r="9">
          <cell r="A9" t="str">
            <v>Evol Prix Corrosion</v>
          </cell>
          <cell r="C9">
            <v>1</v>
          </cell>
          <cell r="D9">
            <v>1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</row>
        <row r="10">
          <cell r="A10" t="str">
            <v>Corrosion</v>
          </cell>
          <cell r="B10">
            <v>17</v>
          </cell>
          <cell r="C10">
            <v>17</v>
          </cell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17</v>
          </cell>
          <cell r="N10">
            <v>17</v>
          </cell>
          <cell r="O10">
            <v>17</v>
          </cell>
        </row>
        <row r="11">
          <cell r="A11" t="str">
            <v>SO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Evol PX Vente Circ 2</v>
          </cell>
          <cell r="C12">
            <v>1</v>
          </cell>
          <cell r="D12">
            <v>1</v>
          </cell>
          <cell r="E12">
            <v>1</v>
          </cell>
          <cell r="F12">
            <v>1</v>
          </cell>
          <cell r="G12">
            <v>1</v>
          </cell>
          <cell r="H12">
            <v>1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1</v>
          </cell>
        </row>
        <row r="13">
          <cell r="A13" t="str">
            <v>Circ 2</v>
          </cell>
          <cell r="B13">
            <v>18.8</v>
          </cell>
          <cell r="C13">
            <v>18.8</v>
          </cell>
          <cell r="D13">
            <v>18.8</v>
          </cell>
          <cell r="E13">
            <v>18.8</v>
          </cell>
          <cell r="F13">
            <v>18.8</v>
          </cell>
          <cell r="G13">
            <v>18.8</v>
          </cell>
          <cell r="H13">
            <v>18.8</v>
          </cell>
          <cell r="I13">
            <v>18.8</v>
          </cell>
          <cell r="J13">
            <v>18.8</v>
          </cell>
          <cell r="K13">
            <v>18.8</v>
          </cell>
          <cell r="L13">
            <v>18.8</v>
          </cell>
          <cell r="M13">
            <v>18.8</v>
          </cell>
          <cell r="N13">
            <v>18.8</v>
          </cell>
          <cell r="O13">
            <v>18.8</v>
          </cell>
        </row>
        <row r="16">
          <cell r="A16" t="str">
            <v>Massif
$/kg</v>
          </cell>
          <cell r="B16">
            <v>2</v>
          </cell>
          <cell r="C16">
            <v>3</v>
          </cell>
          <cell r="D16">
            <v>4</v>
          </cell>
          <cell r="E16">
            <v>5</v>
          </cell>
          <cell r="F16">
            <v>6</v>
          </cell>
          <cell r="G16">
            <v>7</v>
          </cell>
          <cell r="H16">
            <v>8</v>
          </cell>
          <cell r="I16">
            <v>9</v>
          </cell>
          <cell r="J16">
            <v>10</v>
          </cell>
          <cell r="K16">
            <v>11</v>
          </cell>
          <cell r="L16">
            <v>12</v>
          </cell>
          <cell r="M16">
            <v>13</v>
          </cell>
          <cell r="N16">
            <v>14</v>
          </cell>
          <cell r="O16">
            <v>15</v>
          </cell>
        </row>
        <row r="17">
          <cell r="A17" t="str">
            <v>Année</v>
          </cell>
          <cell r="B17">
            <v>2012</v>
          </cell>
          <cell r="C17">
            <v>2013</v>
          </cell>
          <cell r="D17">
            <v>2014</v>
          </cell>
          <cell r="E17">
            <v>2015</v>
          </cell>
          <cell r="F17">
            <v>2016</v>
          </cell>
          <cell r="G17">
            <v>2017</v>
          </cell>
          <cell r="H17">
            <v>2018</v>
          </cell>
          <cell r="I17">
            <v>2019</v>
          </cell>
          <cell r="J17">
            <v>2020</v>
          </cell>
          <cell r="K17">
            <v>2021</v>
          </cell>
          <cell r="L17">
            <v>2022</v>
          </cell>
          <cell r="M17">
            <v>2023</v>
          </cell>
          <cell r="N17">
            <v>2024</v>
          </cell>
          <cell r="O17">
            <v>2025</v>
          </cell>
        </row>
        <row r="18">
          <cell r="A18" t="str">
            <v>K Massif / Lingot</v>
          </cell>
          <cell r="B18">
            <v>0.38</v>
          </cell>
          <cell r="C18">
            <v>0.38</v>
          </cell>
          <cell r="D18">
            <v>0.38</v>
          </cell>
          <cell r="E18">
            <v>0.38</v>
          </cell>
          <cell r="F18">
            <v>0.38</v>
          </cell>
          <cell r="G18">
            <v>0.38</v>
          </cell>
          <cell r="H18">
            <v>0.38</v>
          </cell>
          <cell r="I18">
            <v>0.38</v>
          </cell>
          <cell r="J18">
            <v>0.38</v>
          </cell>
          <cell r="K18">
            <v>0.38</v>
          </cell>
          <cell r="L18">
            <v>0.38</v>
          </cell>
          <cell r="M18">
            <v>0.38</v>
          </cell>
          <cell r="N18">
            <v>0.38</v>
          </cell>
          <cell r="O18">
            <v>0.38</v>
          </cell>
        </row>
        <row r="19">
          <cell r="A19" t="str">
            <v>Marché 1</v>
          </cell>
          <cell r="B19">
            <v>9.4125999999999994</v>
          </cell>
          <cell r="C19">
            <v>9.4125999999999994</v>
          </cell>
          <cell r="D19">
            <v>9.4125999999999994</v>
          </cell>
          <cell r="E19">
            <v>9.4125999999999994</v>
          </cell>
          <cell r="F19">
            <v>9.4125999999999994</v>
          </cell>
          <cell r="G19">
            <v>9.4125999999999994</v>
          </cell>
          <cell r="H19">
            <v>9.4125999999999994</v>
          </cell>
          <cell r="I19">
            <v>9.4125999999999994</v>
          </cell>
          <cell r="J19">
            <v>9.4125999999999994</v>
          </cell>
          <cell r="K19">
            <v>9.4125999999999994</v>
          </cell>
          <cell r="L19">
            <v>9.4125999999999994</v>
          </cell>
          <cell r="M19">
            <v>9.4125999999999994</v>
          </cell>
          <cell r="N19">
            <v>9.4125999999999994</v>
          </cell>
          <cell r="O19">
            <v>9.4125999999999994</v>
          </cell>
        </row>
        <row r="20">
          <cell r="A20" t="str">
            <v>Circ 1</v>
          </cell>
          <cell r="B20">
            <v>1</v>
          </cell>
          <cell r="C20">
            <v>1</v>
          </cell>
          <cell r="D20">
            <v>1</v>
          </cell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1">
          <cell r="A21" t="str">
            <v>Corrosion</v>
          </cell>
          <cell r="B21">
            <v>3</v>
          </cell>
          <cell r="C21">
            <v>3</v>
          </cell>
          <cell r="D21">
            <v>3</v>
          </cell>
          <cell r="E21">
            <v>3</v>
          </cell>
          <cell r="F21">
            <v>3</v>
          </cell>
          <cell r="G21">
            <v>3</v>
          </cell>
          <cell r="H21">
            <v>3</v>
          </cell>
          <cell r="I21">
            <v>3</v>
          </cell>
          <cell r="J21">
            <v>3</v>
          </cell>
          <cell r="K21">
            <v>3</v>
          </cell>
          <cell r="L21">
            <v>3</v>
          </cell>
          <cell r="M21">
            <v>3</v>
          </cell>
          <cell r="N21">
            <v>3</v>
          </cell>
          <cell r="O21">
            <v>3</v>
          </cell>
        </row>
        <row r="22">
          <cell r="A22" t="str">
            <v>Circ 2</v>
          </cell>
          <cell r="B22">
            <v>5</v>
          </cell>
          <cell r="C22">
            <v>5</v>
          </cell>
          <cell r="D22">
            <v>5</v>
          </cell>
          <cell r="E22">
            <v>5</v>
          </cell>
          <cell r="F22">
            <v>5</v>
          </cell>
          <cell r="G22">
            <v>5</v>
          </cell>
          <cell r="H22">
            <v>5</v>
          </cell>
          <cell r="I22">
            <v>5</v>
          </cell>
          <cell r="J22">
            <v>5</v>
          </cell>
          <cell r="K22">
            <v>5</v>
          </cell>
          <cell r="L22">
            <v>5</v>
          </cell>
          <cell r="M22">
            <v>5</v>
          </cell>
          <cell r="N22">
            <v>5</v>
          </cell>
          <cell r="O22">
            <v>5</v>
          </cell>
        </row>
        <row r="25">
          <cell r="A25" t="str">
            <v>Copeaux
$/kg</v>
          </cell>
          <cell r="B25">
            <v>2</v>
          </cell>
          <cell r="C25">
            <v>3</v>
          </cell>
          <cell r="D25">
            <v>4</v>
          </cell>
          <cell r="E25">
            <v>5</v>
          </cell>
          <cell r="F25">
            <v>6</v>
          </cell>
          <cell r="G25">
            <v>7</v>
          </cell>
          <cell r="H25">
            <v>8</v>
          </cell>
          <cell r="I25">
            <v>9</v>
          </cell>
          <cell r="J25">
            <v>10</v>
          </cell>
          <cell r="K25">
            <v>11</v>
          </cell>
          <cell r="L25">
            <v>12</v>
          </cell>
          <cell r="M25">
            <v>13</v>
          </cell>
          <cell r="N25">
            <v>14</v>
          </cell>
          <cell r="O25">
            <v>15</v>
          </cell>
        </row>
        <row r="26">
          <cell r="A26" t="str">
            <v>Année</v>
          </cell>
          <cell r="B26">
            <v>2012</v>
          </cell>
          <cell r="C26">
            <v>2013</v>
          </cell>
          <cell r="D26">
            <v>2014</v>
          </cell>
          <cell r="E26">
            <v>2015</v>
          </cell>
          <cell r="F26">
            <v>2016</v>
          </cell>
          <cell r="G26">
            <v>2017</v>
          </cell>
          <cell r="H26">
            <v>2018</v>
          </cell>
          <cell r="I26">
            <v>2019</v>
          </cell>
          <cell r="J26">
            <v>2020</v>
          </cell>
          <cell r="K26">
            <v>2021</v>
          </cell>
          <cell r="L26">
            <v>2022</v>
          </cell>
          <cell r="M26">
            <v>2023</v>
          </cell>
          <cell r="N26">
            <v>2024</v>
          </cell>
          <cell r="O26">
            <v>2025</v>
          </cell>
        </row>
        <row r="27">
          <cell r="A27" t="str">
            <v>K Copeaux/ Lingot</v>
          </cell>
          <cell r="B27">
            <v>0.2</v>
          </cell>
          <cell r="C27">
            <v>0.2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0.2</v>
          </cell>
          <cell r="I27">
            <v>0.2</v>
          </cell>
          <cell r="J27">
            <v>0.2</v>
          </cell>
          <cell r="K27">
            <v>0.2</v>
          </cell>
          <cell r="L27">
            <v>0.2</v>
          </cell>
          <cell r="M27">
            <v>0.2</v>
          </cell>
          <cell r="N27">
            <v>0.2</v>
          </cell>
          <cell r="O27">
            <v>0.2</v>
          </cell>
        </row>
        <row r="28">
          <cell r="A28" t="str">
            <v>Marché 1</v>
          </cell>
          <cell r="B28">
            <v>4.9540000000000006</v>
          </cell>
          <cell r="C28">
            <v>4.9540000000000006</v>
          </cell>
          <cell r="D28">
            <v>4.9540000000000006</v>
          </cell>
          <cell r="E28">
            <v>4.9540000000000006</v>
          </cell>
          <cell r="F28">
            <v>4.9540000000000006</v>
          </cell>
          <cell r="G28">
            <v>4.9540000000000006</v>
          </cell>
          <cell r="H28">
            <v>4.9540000000000006</v>
          </cell>
          <cell r="I28">
            <v>4.9540000000000006</v>
          </cell>
          <cell r="J28">
            <v>4.9540000000000006</v>
          </cell>
          <cell r="K28">
            <v>4.9540000000000006</v>
          </cell>
          <cell r="L28">
            <v>4.9540000000000006</v>
          </cell>
          <cell r="M28">
            <v>4.9540000000000006</v>
          </cell>
          <cell r="N28">
            <v>4.9540000000000006</v>
          </cell>
          <cell r="O28">
            <v>4.9540000000000006</v>
          </cell>
        </row>
        <row r="29">
          <cell r="A29" t="str">
            <v>Circ 1</v>
          </cell>
          <cell r="B29">
            <v>0.6</v>
          </cell>
          <cell r="C29">
            <v>0.6</v>
          </cell>
          <cell r="D29">
            <v>0.6</v>
          </cell>
          <cell r="E29">
            <v>0.6</v>
          </cell>
          <cell r="F29">
            <v>0.6</v>
          </cell>
          <cell r="G29">
            <v>0.6</v>
          </cell>
          <cell r="H29">
            <v>0.6</v>
          </cell>
          <cell r="I29">
            <v>0.6</v>
          </cell>
          <cell r="J29">
            <v>0.6</v>
          </cell>
          <cell r="K29">
            <v>0.6</v>
          </cell>
          <cell r="L29">
            <v>0.6</v>
          </cell>
          <cell r="M29">
            <v>0.6</v>
          </cell>
          <cell r="N29">
            <v>0.6</v>
          </cell>
          <cell r="O29">
            <v>0.6</v>
          </cell>
        </row>
        <row r="30">
          <cell r="A30" t="str">
            <v>Corrosion</v>
          </cell>
          <cell r="B30">
            <v>1.8</v>
          </cell>
          <cell r="C30">
            <v>1.8</v>
          </cell>
          <cell r="D30">
            <v>1.8</v>
          </cell>
          <cell r="E30">
            <v>1.8</v>
          </cell>
          <cell r="F30">
            <v>1.8</v>
          </cell>
          <cell r="G30">
            <v>1.8</v>
          </cell>
          <cell r="H30">
            <v>1.8</v>
          </cell>
          <cell r="I30">
            <v>1.8</v>
          </cell>
          <cell r="J30">
            <v>1.8</v>
          </cell>
          <cell r="K30">
            <v>1.8</v>
          </cell>
          <cell r="L30">
            <v>1.8</v>
          </cell>
          <cell r="M30">
            <v>1.8</v>
          </cell>
          <cell r="N30">
            <v>1.8</v>
          </cell>
          <cell r="O30">
            <v>1.8</v>
          </cell>
        </row>
        <row r="31">
          <cell r="A31" t="str">
            <v>Circ 2</v>
          </cell>
          <cell r="B31">
            <v>3</v>
          </cell>
          <cell r="C31">
            <v>3</v>
          </cell>
          <cell r="D31">
            <v>3</v>
          </cell>
          <cell r="E31">
            <v>3</v>
          </cell>
          <cell r="F31">
            <v>3</v>
          </cell>
          <cell r="G31">
            <v>3</v>
          </cell>
          <cell r="H31">
            <v>3</v>
          </cell>
          <cell r="I31">
            <v>3</v>
          </cell>
          <cell r="J31">
            <v>3</v>
          </cell>
          <cell r="K31">
            <v>3</v>
          </cell>
          <cell r="L31">
            <v>3</v>
          </cell>
          <cell r="M31">
            <v>3</v>
          </cell>
          <cell r="N31">
            <v>3</v>
          </cell>
          <cell r="O31">
            <v>3</v>
          </cell>
        </row>
        <row r="34">
          <cell r="A34" t="str">
            <v>Ferro-titane
$/kg</v>
          </cell>
          <cell r="B34">
            <v>2</v>
          </cell>
          <cell r="C34">
            <v>3</v>
          </cell>
          <cell r="D34">
            <v>4</v>
          </cell>
          <cell r="E34">
            <v>5</v>
          </cell>
          <cell r="F34">
            <v>6</v>
          </cell>
          <cell r="G34">
            <v>7</v>
          </cell>
          <cell r="H34">
            <v>8</v>
          </cell>
          <cell r="I34">
            <v>9</v>
          </cell>
          <cell r="J34">
            <v>10</v>
          </cell>
          <cell r="K34">
            <v>11</v>
          </cell>
          <cell r="L34">
            <v>12</v>
          </cell>
          <cell r="M34">
            <v>13</v>
          </cell>
          <cell r="N34">
            <v>14</v>
          </cell>
          <cell r="O34">
            <v>15</v>
          </cell>
        </row>
        <row r="35">
          <cell r="A35" t="str">
            <v>Année</v>
          </cell>
          <cell r="B35">
            <v>2012</v>
          </cell>
          <cell r="C35">
            <v>2013</v>
          </cell>
          <cell r="D35">
            <v>2014</v>
          </cell>
          <cell r="E35">
            <v>2015</v>
          </cell>
          <cell r="F35">
            <v>2016</v>
          </cell>
          <cell r="G35">
            <v>2017</v>
          </cell>
          <cell r="H35">
            <v>2018</v>
          </cell>
          <cell r="I35">
            <v>2019</v>
          </cell>
          <cell r="J35">
            <v>2020</v>
          </cell>
          <cell r="K35">
            <v>2021</v>
          </cell>
          <cell r="L35">
            <v>2022</v>
          </cell>
          <cell r="M35">
            <v>2023</v>
          </cell>
          <cell r="N35">
            <v>2024</v>
          </cell>
          <cell r="O35">
            <v>2025</v>
          </cell>
        </row>
        <row r="36">
          <cell r="A36" t="str">
            <v>K FerroTi / Lingot</v>
          </cell>
          <cell r="B36">
            <v>0.14000000000000001</v>
          </cell>
          <cell r="C36">
            <v>0.14000000000000001</v>
          </cell>
          <cell r="D36">
            <v>0.14000000000000001</v>
          </cell>
          <cell r="E36">
            <v>0.14000000000000001</v>
          </cell>
          <cell r="F36">
            <v>0.14000000000000001</v>
          </cell>
          <cell r="G36">
            <v>0.14000000000000001</v>
          </cell>
          <cell r="H36">
            <v>0.14000000000000001</v>
          </cell>
          <cell r="I36">
            <v>0.14000000000000001</v>
          </cell>
          <cell r="J36">
            <v>0.14000000000000001</v>
          </cell>
          <cell r="K36">
            <v>0.14000000000000001</v>
          </cell>
          <cell r="L36">
            <v>0.14000000000000001</v>
          </cell>
          <cell r="M36">
            <v>0.14000000000000001</v>
          </cell>
          <cell r="N36">
            <v>0.14000000000000001</v>
          </cell>
          <cell r="O36">
            <v>0.14000000000000001</v>
          </cell>
        </row>
        <row r="37">
          <cell r="A37" t="str">
            <v>Marché 1</v>
          </cell>
          <cell r="B37">
            <v>3.4678000000000004</v>
          </cell>
          <cell r="C37">
            <v>3.4678000000000004</v>
          </cell>
          <cell r="D37">
            <v>3.4678000000000004</v>
          </cell>
          <cell r="E37">
            <v>3.4678000000000004</v>
          </cell>
          <cell r="F37">
            <v>3.4678000000000004</v>
          </cell>
          <cell r="G37">
            <v>3.4678000000000004</v>
          </cell>
          <cell r="H37">
            <v>3.4678000000000004</v>
          </cell>
          <cell r="I37">
            <v>3.4678000000000004</v>
          </cell>
          <cell r="J37">
            <v>3.4678000000000004</v>
          </cell>
          <cell r="K37">
            <v>3.4678000000000004</v>
          </cell>
          <cell r="L37">
            <v>3.4678000000000004</v>
          </cell>
          <cell r="M37">
            <v>3.4678000000000004</v>
          </cell>
          <cell r="N37">
            <v>3.4678000000000004</v>
          </cell>
          <cell r="O37">
            <v>3.4678000000000004</v>
          </cell>
        </row>
        <row r="38">
          <cell r="A38" t="str">
            <v>Circ 1</v>
          </cell>
          <cell r="B38">
            <v>3.4678000000000004</v>
          </cell>
          <cell r="C38">
            <v>3.4678000000000004</v>
          </cell>
          <cell r="D38">
            <v>3.4678000000000004</v>
          </cell>
          <cell r="E38">
            <v>3.4678000000000004</v>
          </cell>
          <cell r="F38">
            <v>3.4678000000000004</v>
          </cell>
          <cell r="G38">
            <v>3.4678000000000004</v>
          </cell>
          <cell r="H38">
            <v>3.4678000000000004</v>
          </cell>
          <cell r="I38">
            <v>3.4678000000000004</v>
          </cell>
          <cell r="J38">
            <v>3.4678000000000004</v>
          </cell>
          <cell r="K38">
            <v>3.4678000000000004</v>
          </cell>
          <cell r="L38">
            <v>3.4678000000000004</v>
          </cell>
          <cell r="M38">
            <v>3.4678000000000004</v>
          </cell>
          <cell r="N38">
            <v>3.4678000000000004</v>
          </cell>
          <cell r="O38">
            <v>3.4678000000000004</v>
          </cell>
        </row>
        <row r="39">
          <cell r="A39" t="str">
            <v>Corrosion</v>
          </cell>
          <cell r="B39">
            <v>3.4678000000000004</v>
          </cell>
          <cell r="C39">
            <v>3.4678000000000004</v>
          </cell>
          <cell r="D39">
            <v>3.4678000000000004</v>
          </cell>
          <cell r="E39">
            <v>3.4678000000000004</v>
          </cell>
          <cell r="F39">
            <v>3.4678000000000004</v>
          </cell>
          <cell r="G39">
            <v>3.4678000000000004</v>
          </cell>
          <cell r="H39">
            <v>3.4678000000000004</v>
          </cell>
          <cell r="I39">
            <v>3.4678000000000004</v>
          </cell>
          <cell r="J39">
            <v>3.4678000000000004</v>
          </cell>
          <cell r="K39">
            <v>3.4678000000000004</v>
          </cell>
          <cell r="L39">
            <v>3.4678000000000004</v>
          </cell>
          <cell r="M39">
            <v>3.4678000000000004</v>
          </cell>
          <cell r="N39">
            <v>3.4678000000000004</v>
          </cell>
          <cell r="O39">
            <v>3.4678000000000004</v>
          </cell>
        </row>
        <row r="40">
          <cell r="A40" t="str">
            <v>Circ 2</v>
          </cell>
          <cell r="B40">
            <v>3.4678000000000004</v>
          </cell>
          <cell r="C40">
            <v>3.4678000000000004</v>
          </cell>
          <cell r="D40">
            <v>3.4678000000000004</v>
          </cell>
          <cell r="E40">
            <v>3.4678000000000004</v>
          </cell>
          <cell r="F40">
            <v>3.4678000000000004</v>
          </cell>
          <cell r="G40">
            <v>3.4678000000000004</v>
          </cell>
          <cell r="H40">
            <v>3.4678000000000004</v>
          </cell>
          <cell r="I40">
            <v>3.4678000000000004</v>
          </cell>
          <cell r="J40">
            <v>3.4678000000000004</v>
          </cell>
          <cell r="K40">
            <v>3.4678000000000004</v>
          </cell>
          <cell r="L40">
            <v>3.4678000000000004</v>
          </cell>
          <cell r="M40">
            <v>3.4678000000000004</v>
          </cell>
          <cell r="N40">
            <v>3.4678000000000004</v>
          </cell>
          <cell r="O40">
            <v>3.4678000000000004</v>
          </cell>
        </row>
      </sheetData>
      <sheetData sheetId="4">
        <row r="2">
          <cell r="A2" t="str">
            <v>Identifiant</v>
          </cell>
          <cell r="B2" t="str">
            <v>Marché</v>
          </cell>
          <cell r="C2" t="str">
            <v>Px et t</v>
          </cell>
          <cell r="D2" t="str">
            <v>Code</v>
          </cell>
          <cell r="E2">
            <v>2012</v>
          </cell>
          <cell r="F2">
            <v>2013</v>
          </cell>
          <cell r="G2">
            <v>2014</v>
          </cell>
          <cell r="H2">
            <v>2015</v>
          </cell>
          <cell r="I2">
            <v>2016</v>
          </cell>
          <cell r="J2">
            <v>2017</v>
          </cell>
          <cell r="K2">
            <v>2018</v>
          </cell>
          <cell r="L2">
            <v>2019</v>
          </cell>
          <cell r="M2">
            <v>2020</v>
          </cell>
          <cell r="N2">
            <v>2021</v>
          </cell>
          <cell r="O2">
            <v>2022</v>
          </cell>
          <cell r="P2">
            <v>2023</v>
          </cell>
          <cell r="Q2">
            <v>2024</v>
          </cell>
          <cell r="R2">
            <v>2025</v>
          </cell>
        </row>
        <row r="3">
          <cell r="A3" t="str">
            <v>EcoTi-02-px lingot</v>
          </cell>
          <cell r="B3" t="str">
            <v>EcoTi-02</v>
          </cell>
          <cell r="C3" t="str">
            <v>px lingot</v>
          </cell>
          <cell r="E3">
            <v>18.47</v>
          </cell>
          <cell r="F3">
            <v>18.47</v>
          </cell>
          <cell r="G3">
            <v>18.47</v>
          </cell>
          <cell r="H3">
            <v>18.47</v>
          </cell>
          <cell r="I3">
            <v>18.47</v>
          </cell>
          <cell r="J3">
            <v>18.47</v>
          </cell>
          <cell r="K3">
            <v>18.47</v>
          </cell>
          <cell r="L3">
            <v>18.47</v>
          </cell>
          <cell r="M3">
            <v>18.47</v>
          </cell>
          <cell r="N3">
            <v>18.47</v>
          </cell>
          <cell r="O3">
            <v>18.47</v>
          </cell>
          <cell r="P3">
            <v>18.47</v>
          </cell>
          <cell r="Q3">
            <v>18.47</v>
          </cell>
          <cell r="R3">
            <v>18.47</v>
          </cell>
        </row>
        <row r="4">
          <cell r="A4" t="str">
            <v>EcoTi-03-px lingot</v>
          </cell>
          <cell r="B4" t="str">
            <v>EcoTi-03</v>
          </cell>
          <cell r="C4" t="str">
            <v>px lingot</v>
          </cell>
          <cell r="E4">
            <v>20</v>
          </cell>
          <cell r="F4">
            <v>20</v>
          </cell>
          <cell r="G4">
            <v>20</v>
          </cell>
          <cell r="H4">
            <v>20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  <cell r="N4">
            <v>20</v>
          </cell>
          <cell r="O4">
            <v>20</v>
          </cell>
          <cell r="P4">
            <v>20</v>
          </cell>
          <cell r="Q4">
            <v>20</v>
          </cell>
          <cell r="R4">
            <v>20</v>
          </cell>
        </row>
        <row r="5">
          <cell r="A5" t="str">
            <v>EcoTi-04-px lingot</v>
          </cell>
          <cell r="B5" t="str">
            <v>EcoTi-04</v>
          </cell>
          <cell r="C5" t="str">
            <v>px lingot</v>
          </cell>
          <cell r="E5">
            <v>20</v>
          </cell>
          <cell r="F5">
            <v>20</v>
          </cell>
          <cell r="G5">
            <v>20</v>
          </cell>
          <cell r="H5">
            <v>20</v>
          </cell>
          <cell r="I5">
            <v>20</v>
          </cell>
          <cell r="J5">
            <v>20</v>
          </cell>
          <cell r="K5">
            <v>20</v>
          </cell>
          <cell r="L5">
            <v>20</v>
          </cell>
          <cell r="M5">
            <v>20</v>
          </cell>
          <cell r="N5">
            <v>20</v>
          </cell>
          <cell r="O5">
            <v>20</v>
          </cell>
          <cell r="P5">
            <v>20</v>
          </cell>
          <cell r="Q5">
            <v>20</v>
          </cell>
          <cell r="R5">
            <v>20</v>
          </cell>
        </row>
        <row r="6">
          <cell r="A6" t="str">
            <v>EcoTi-05-px lingot</v>
          </cell>
          <cell r="B6" t="str">
            <v>EcoTi-05</v>
          </cell>
          <cell r="C6" t="str">
            <v>px lingot</v>
          </cell>
          <cell r="E6">
            <v>22</v>
          </cell>
          <cell r="F6">
            <v>22</v>
          </cell>
          <cell r="G6">
            <v>22</v>
          </cell>
          <cell r="H6">
            <v>22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22</v>
          </cell>
          <cell r="Q6">
            <v>22</v>
          </cell>
          <cell r="R6">
            <v>22</v>
          </cell>
        </row>
        <row r="7">
          <cell r="A7" t="str">
            <v>EcoTi-09-px lingot</v>
          </cell>
          <cell r="B7" t="str">
            <v>EcoTi-09</v>
          </cell>
          <cell r="C7" t="str">
            <v>px lingot</v>
          </cell>
          <cell r="E7">
            <v>21.5</v>
          </cell>
          <cell r="F7">
            <v>21.5</v>
          </cell>
          <cell r="G7">
            <v>21.5</v>
          </cell>
          <cell r="H7">
            <v>21.5</v>
          </cell>
          <cell r="I7">
            <v>21.5</v>
          </cell>
          <cell r="J7">
            <v>21.5</v>
          </cell>
          <cell r="K7">
            <v>21.5</v>
          </cell>
          <cell r="L7">
            <v>21.5</v>
          </cell>
          <cell r="M7">
            <v>21.5</v>
          </cell>
          <cell r="N7">
            <v>21.5</v>
          </cell>
          <cell r="O7">
            <v>21.5</v>
          </cell>
          <cell r="P7">
            <v>21.5</v>
          </cell>
          <cell r="Q7">
            <v>21.5</v>
          </cell>
          <cell r="R7">
            <v>21.5</v>
          </cell>
        </row>
        <row r="8">
          <cell r="A8" t="str">
            <v>EcoTi-06-to massif</v>
          </cell>
          <cell r="B8" t="str">
            <v>EcoTi-06</v>
          </cell>
          <cell r="C8" t="str">
            <v>to massif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18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56</v>
          </cell>
          <cell r="P8">
            <v>136</v>
          </cell>
          <cell r="Q8">
            <v>173</v>
          </cell>
          <cell r="R8">
            <v>173</v>
          </cell>
        </row>
        <row r="9">
          <cell r="A9" t="str">
            <v>EcoTi-06-ac massif</v>
          </cell>
          <cell r="B9" t="str">
            <v>EcoTi-06</v>
          </cell>
          <cell r="C9" t="str">
            <v>ac massif</v>
          </cell>
          <cell r="D9" t="str">
            <v>Circ 1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</row>
        <row r="10">
          <cell r="A10" t="str">
            <v>EcoTi-06-to copeaux</v>
          </cell>
          <cell r="B10" t="str">
            <v>EcoTi-06</v>
          </cell>
          <cell r="C10" t="str">
            <v>to copeaux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12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46</v>
          </cell>
          <cell r="P10">
            <v>115</v>
          </cell>
          <cell r="Q10">
            <v>141</v>
          </cell>
          <cell r="R10">
            <v>141</v>
          </cell>
        </row>
        <row r="11">
          <cell r="A11" t="str">
            <v>EcoTi-06-ac copeaux</v>
          </cell>
          <cell r="B11" t="str">
            <v>EcoTi-06</v>
          </cell>
          <cell r="C11" t="str">
            <v>ac copeaux</v>
          </cell>
          <cell r="D11" t="str">
            <v>Circ 1</v>
          </cell>
          <cell r="E11">
            <v>0.6</v>
          </cell>
          <cell r="F11">
            <v>0.6</v>
          </cell>
          <cell r="G11">
            <v>0.6</v>
          </cell>
          <cell r="H11">
            <v>0.6</v>
          </cell>
          <cell r="I11">
            <v>0.6</v>
          </cell>
          <cell r="J11">
            <v>0.6</v>
          </cell>
          <cell r="K11">
            <v>0.6</v>
          </cell>
          <cell r="L11">
            <v>0.6</v>
          </cell>
          <cell r="M11">
            <v>0.6</v>
          </cell>
          <cell r="N11">
            <v>0.6</v>
          </cell>
          <cell r="O11">
            <v>0.6</v>
          </cell>
          <cell r="P11">
            <v>0.6</v>
          </cell>
          <cell r="Q11">
            <v>0.6</v>
          </cell>
          <cell r="R11">
            <v>0.6</v>
          </cell>
        </row>
        <row r="12">
          <cell r="A12" t="str">
            <v>EcoTi-06-to lingot</v>
          </cell>
          <cell r="B12" t="str">
            <v>EcoTi-06</v>
          </cell>
          <cell r="C12" t="str">
            <v>to lingot</v>
          </cell>
          <cell r="D12" t="str">
            <v>VAR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26.339999999999996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98.835999999999999</v>
          </cell>
          <cell r="P12">
            <v>242.90199999999999</v>
          </cell>
          <cell r="Q12">
            <v>304.36500000000001</v>
          </cell>
          <cell r="R12">
            <v>304.36500000000001</v>
          </cell>
        </row>
        <row r="13">
          <cell r="A13" t="str">
            <v>EcoTi-06-de lingot</v>
          </cell>
          <cell r="B13" t="str">
            <v>EcoTi-06</v>
          </cell>
          <cell r="C13" t="str">
            <v>de lingot</v>
          </cell>
          <cell r="D13" t="str">
            <v>Circ 1</v>
          </cell>
          <cell r="E13">
            <v>15.5</v>
          </cell>
          <cell r="F13">
            <v>15.5</v>
          </cell>
          <cell r="G13">
            <v>15.5</v>
          </cell>
          <cell r="H13">
            <v>15.5</v>
          </cell>
          <cell r="I13">
            <v>15.5</v>
          </cell>
          <cell r="J13">
            <v>15.5</v>
          </cell>
          <cell r="K13">
            <v>15.5</v>
          </cell>
          <cell r="L13">
            <v>15.5</v>
          </cell>
          <cell r="M13">
            <v>15.5</v>
          </cell>
          <cell r="N13">
            <v>15.5</v>
          </cell>
          <cell r="O13">
            <v>15.5</v>
          </cell>
          <cell r="P13">
            <v>15.5</v>
          </cell>
          <cell r="Q13">
            <v>15.5</v>
          </cell>
          <cell r="R13">
            <v>15.5</v>
          </cell>
        </row>
        <row r="14">
          <cell r="A14" t="str">
            <v>EcoTi-06-px lingot</v>
          </cell>
          <cell r="B14" t="str">
            <v>EcoTi-06</v>
          </cell>
          <cell r="C14" t="str">
            <v>px lingot</v>
          </cell>
          <cell r="E14">
            <v>20</v>
          </cell>
          <cell r="F14">
            <v>20</v>
          </cell>
          <cell r="G14">
            <v>20</v>
          </cell>
          <cell r="H14">
            <v>20</v>
          </cell>
          <cell r="I14">
            <v>20</v>
          </cell>
          <cell r="J14">
            <v>20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19.5</v>
          </cell>
          <cell r="P14">
            <v>19</v>
          </cell>
          <cell r="Q14">
            <v>18</v>
          </cell>
          <cell r="R14">
            <v>18</v>
          </cell>
        </row>
        <row r="15">
          <cell r="A15" t="str">
            <v>EcoTi-07-to massif</v>
          </cell>
          <cell r="B15" t="str">
            <v>EcoTi-07</v>
          </cell>
          <cell r="C15" t="str">
            <v>to massif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281.19150000000002</v>
          </cell>
          <cell r="K15">
            <v>314.94149999999996</v>
          </cell>
          <cell r="L15">
            <v>395.86649999999997</v>
          </cell>
          <cell r="M15">
            <v>414.87899999999996</v>
          </cell>
          <cell r="N15">
            <v>414.87899999999996</v>
          </cell>
          <cell r="O15">
            <v>358.87899999999996</v>
          </cell>
          <cell r="P15">
            <v>278.87899999999996</v>
          </cell>
          <cell r="Q15">
            <v>241.87899999999996</v>
          </cell>
          <cell r="R15">
            <v>241.87899999999996</v>
          </cell>
        </row>
        <row r="16">
          <cell r="A16" t="str">
            <v>EcoTi-07-ac massif</v>
          </cell>
          <cell r="B16" t="str">
            <v>EcoTi-07</v>
          </cell>
          <cell r="C16" t="str">
            <v>ac massif</v>
          </cell>
          <cell r="D16" t="str">
            <v>Circ 1</v>
          </cell>
          <cell r="E16">
            <v>1</v>
          </cell>
          <cell r="F16">
            <v>1</v>
          </cell>
          <cell r="G16">
            <v>1</v>
          </cell>
          <cell r="H16">
            <v>1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</row>
        <row r="17">
          <cell r="A17" t="str">
            <v>EcoTi-07-to copeaux</v>
          </cell>
          <cell r="B17" t="str">
            <v>EcoTi-07</v>
          </cell>
          <cell r="C17" t="str">
            <v>to copeaux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210.04875000000001</v>
          </cell>
          <cell r="K17">
            <v>239.37375</v>
          </cell>
          <cell r="L17">
            <v>325.99874999999997</v>
          </cell>
          <cell r="M17">
            <v>343.32374999999996</v>
          </cell>
          <cell r="N17">
            <v>343.32374999999996</v>
          </cell>
          <cell r="O17">
            <v>297.32374999999996</v>
          </cell>
          <cell r="P17">
            <v>228.32374999999996</v>
          </cell>
          <cell r="Q17">
            <v>202.32374999999996</v>
          </cell>
          <cell r="R17">
            <v>202.32374999999996</v>
          </cell>
        </row>
        <row r="18">
          <cell r="A18" t="str">
            <v>EcoTi-07-ac copeaux</v>
          </cell>
          <cell r="B18" t="str">
            <v>EcoTi-07</v>
          </cell>
          <cell r="C18" t="str">
            <v>ac copeaux</v>
          </cell>
          <cell r="D18" t="str">
            <v>Circ 1</v>
          </cell>
          <cell r="E18">
            <v>0.6</v>
          </cell>
          <cell r="F18">
            <v>0.6</v>
          </cell>
          <cell r="G18">
            <v>0.6</v>
          </cell>
          <cell r="H18">
            <v>0.6</v>
          </cell>
          <cell r="I18">
            <v>0.6</v>
          </cell>
          <cell r="J18">
            <v>0.6</v>
          </cell>
          <cell r="K18">
            <v>0.6</v>
          </cell>
          <cell r="L18">
            <v>0.6</v>
          </cell>
          <cell r="M18">
            <v>0.6</v>
          </cell>
          <cell r="N18">
            <v>0.6</v>
          </cell>
          <cell r="O18">
            <v>0.6</v>
          </cell>
          <cell r="P18">
            <v>0.6</v>
          </cell>
          <cell r="Q18">
            <v>0.6</v>
          </cell>
          <cell r="R18">
            <v>0.6</v>
          </cell>
        </row>
        <row r="19">
          <cell r="A19" t="str">
            <v>EcoTi-07-to lingot</v>
          </cell>
          <cell r="B19" t="str">
            <v>EcoTi-07</v>
          </cell>
          <cell r="C19" t="str">
            <v>to lingot</v>
          </cell>
          <cell r="D19" t="str">
            <v>VAR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429.20827875000003</v>
          </cell>
          <cell r="K19">
            <v>499.94030774999999</v>
          </cell>
          <cell r="L19">
            <v>670.96291724999992</v>
          </cell>
          <cell r="M19">
            <v>727.54789049999988</v>
          </cell>
          <cell r="N19">
            <v>734.44327049999993</v>
          </cell>
          <cell r="O19">
            <v>635.60727049999991</v>
          </cell>
          <cell r="P19">
            <v>491.54127049999988</v>
          </cell>
          <cell r="Q19">
            <v>430.07827049999992</v>
          </cell>
          <cell r="R19">
            <v>430.07827049999992</v>
          </cell>
        </row>
        <row r="20">
          <cell r="A20" t="str">
            <v>EcoTi-07-de lingot</v>
          </cell>
          <cell r="B20" t="str">
            <v>EcoTi-07</v>
          </cell>
          <cell r="C20" t="str">
            <v>de lingot</v>
          </cell>
          <cell r="D20" t="str">
            <v>Circ 1</v>
          </cell>
          <cell r="E20">
            <v>15.5</v>
          </cell>
          <cell r="F20">
            <v>15.5</v>
          </cell>
          <cell r="G20">
            <v>15.5</v>
          </cell>
          <cell r="H20">
            <v>15.5</v>
          </cell>
          <cell r="I20">
            <v>15.5</v>
          </cell>
          <cell r="J20">
            <v>15.5</v>
          </cell>
          <cell r="K20">
            <v>15.5</v>
          </cell>
          <cell r="L20">
            <v>15.5</v>
          </cell>
          <cell r="M20">
            <v>15.5</v>
          </cell>
          <cell r="N20">
            <v>15.5</v>
          </cell>
          <cell r="O20">
            <v>15.5</v>
          </cell>
          <cell r="P20">
            <v>15.5</v>
          </cell>
          <cell r="Q20">
            <v>15.5</v>
          </cell>
          <cell r="R20">
            <v>15.5</v>
          </cell>
        </row>
        <row r="21">
          <cell r="A21" t="str">
            <v>EcoTi-07-px lingot</v>
          </cell>
          <cell r="B21" t="str">
            <v>EcoTi-07</v>
          </cell>
          <cell r="C21" t="str">
            <v>px lingot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17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17</v>
          </cell>
          <cell r="Q21">
            <v>17</v>
          </cell>
          <cell r="R21">
            <v>17</v>
          </cell>
        </row>
        <row r="22">
          <cell r="A22" t="str">
            <v>EcoTi-99-to massif</v>
          </cell>
          <cell r="B22" t="str">
            <v>EcoTi-99</v>
          </cell>
          <cell r="C22" t="str">
            <v>to massif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A23" t="str">
            <v>EcoTi-99-ac massif</v>
          </cell>
          <cell r="B23" t="str">
            <v>EcoTi-99</v>
          </cell>
          <cell r="C23" t="str">
            <v>ac massif</v>
          </cell>
          <cell r="D23" t="str">
            <v>Circ 1</v>
          </cell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1</v>
          </cell>
        </row>
        <row r="24">
          <cell r="A24" t="str">
            <v>EcoTi-99-to copeaux</v>
          </cell>
          <cell r="B24" t="str">
            <v>EcoTi-99</v>
          </cell>
          <cell r="C24" t="str">
            <v>to copeaux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A25" t="str">
            <v>EcoTi-99-ac copeaux</v>
          </cell>
          <cell r="B25" t="str">
            <v>EcoTi-99</v>
          </cell>
          <cell r="C25" t="str">
            <v>ac copeaux</v>
          </cell>
          <cell r="D25" t="str">
            <v>Circ 1</v>
          </cell>
          <cell r="E25">
            <v>0.6</v>
          </cell>
          <cell r="F25">
            <v>0.6</v>
          </cell>
          <cell r="G25">
            <v>0.6</v>
          </cell>
          <cell r="H25">
            <v>0.6</v>
          </cell>
          <cell r="I25">
            <v>0.6</v>
          </cell>
          <cell r="J25">
            <v>0.6</v>
          </cell>
          <cell r="K25">
            <v>0.6</v>
          </cell>
          <cell r="L25">
            <v>0.6</v>
          </cell>
          <cell r="M25">
            <v>0.6</v>
          </cell>
          <cell r="N25">
            <v>0.6</v>
          </cell>
          <cell r="O25">
            <v>0.6</v>
          </cell>
          <cell r="P25">
            <v>0.6</v>
          </cell>
          <cell r="Q25">
            <v>0.6</v>
          </cell>
          <cell r="R25">
            <v>0.6</v>
          </cell>
        </row>
        <row r="26">
          <cell r="A26" t="str">
            <v>EcoTi-99-to lingot</v>
          </cell>
          <cell r="B26" t="str">
            <v>EcoTi-99</v>
          </cell>
          <cell r="C26" t="str">
            <v>to lingot</v>
          </cell>
          <cell r="D26" t="str">
            <v>Non Refondu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A27" t="str">
            <v>EcoTi-99-px lingot</v>
          </cell>
          <cell r="B27" t="str">
            <v>EcoTi-99</v>
          </cell>
          <cell r="C27" t="str">
            <v>px lingot</v>
          </cell>
          <cell r="D27" t="str">
            <v>Circ 1</v>
          </cell>
          <cell r="E27">
            <v>15.5</v>
          </cell>
          <cell r="F27">
            <v>15.5</v>
          </cell>
          <cell r="G27">
            <v>15.5</v>
          </cell>
          <cell r="H27">
            <v>15.5</v>
          </cell>
          <cell r="I27">
            <v>15.5</v>
          </cell>
          <cell r="J27">
            <v>15.5</v>
          </cell>
          <cell r="K27">
            <v>15.5</v>
          </cell>
          <cell r="L27">
            <v>15.5</v>
          </cell>
          <cell r="M27">
            <v>15.5</v>
          </cell>
          <cell r="N27">
            <v>15.5</v>
          </cell>
          <cell r="O27">
            <v>15.5</v>
          </cell>
          <cell r="P27">
            <v>15.5</v>
          </cell>
          <cell r="Q27">
            <v>15.5</v>
          </cell>
          <cell r="R27">
            <v>15.5</v>
          </cell>
        </row>
      </sheetData>
      <sheetData sheetId="5">
        <row r="18">
          <cell r="B18" t="str">
            <v>EcoTi-01</v>
          </cell>
          <cell r="C18">
            <v>100</v>
          </cell>
          <cell r="D18">
            <v>100</v>
          </cell>
          <cell r="E18">
            <v>100</v>
          </cell>
          <cell r="F18">
            <v>300</v>
          </cell>
          <cell r="G18">
            <v>600</v>
          </cell>
          <cell r="H18">
            <v>600</v>
          </cell>
          <cell r="I18">
            <v>600</v>
          </cell>
          <cell r="J18">
            <v>600</v>
          </cell>
          <cell r="K18">
            <v>600</v>
          </cell>
        </row>
        <row r="19">
          <cell r="B19" t="str">
            <v>EcoTi-02</v>
          </cell>
          <cell r="C19">
            <v>50</v>
          </cell>
          <cell r="D19">
            <v>100</v>
          </cell>
          <cell r="E19">
            <v>150</v>
          </cell>
          <cell r="F19">
            <v>200</v>
          </cell>
          <cell r="G19">
            <v>320</v>
          </cell>
          <cell r="H19">
            <v>360</v>
          </cell>
          <cell r="I19">
            <v>430</v>
          </cell>
          <cell r="J19">
            <v>430</v>
          </cell>
          <cell r="K19">
            <v>430</v>
          </cell>
        </row>
        <row r="20">
          <cell r="B20" t="str">
            <v>EcoTi-03</v>
          </cell>
          <cell r="C20">
            <v>80</v>
          </cell>
          <cell r="D20">
            <v>190</v>
          </cell>
          <cell r="E20">
            <v>300</v>
          </cell>
          <cell r="F20">
            <v>350</v>
          </cell>
          <cell r="G20">
            <v>350</v>
          </cell>
          <cell r="H20">
            <v>350</v>
          </cell>
          <cell r="I20">
            <v>350</v>
          </cell>
          <cell r="J20">
            <v>350</v>
          </cell>
          <cell r="K20">
            <v>350</v>
          </cell>
        </row>
        <row r="21">
          <cell r="B21" t="str">
            <v>EcoTi-04</v>
          </cell>
          <cell r="C21">
            <v>40</v>
          </cell>
          <cell r="D21">
            <v>50</v>
          </cell>
          <cell r="E21">
            <v>100</v>
          </cell>
          <cell r="F21">
            <v>200</v>
          </cell>
          <cell r="G21">
            <v>200</v>
          </cell>
          <cell r="H21">
            <v>180</v>
          </cell>
          <cell r="I21">
            <v>175</v>
          </cell>
          <cell r="J21">
            <v>170</v>
          </cell>
          <cell r="K21">
            <v>130</v>
          </cell>
        </row>
        <row r="22">
          <cell r="B22" t="str">
            <v>EcoTi-05</v>
          </cell>
          <cell r="C22">
            <v>70</v>
          </cell>
          <cell r="D22">
            <v>130</v>
          </cell>
          <cell r="E22">
            <v>220</v>
          </cell>
          <cell r="F22">
            <v>350</v>
          </cell>
          <cell r="G22">
            <v>600</v>
          </cell>
          <cell r="H22">
            <v>650</v>
          </cell>
          <cell r="I22">
            <v>650</v>
          </cell>
          <cell r="J22">
            <v>650</v>
          </cell>
          <cell r="K22">
            <v>650</v>
          </cell>
        </row>
        <row r="23">
          <cell r="B23" t="str">
            <v>EcoTi-06</v>
          </cell>
          <cell r="C23">
            <v>180</v>
          </cell>
          <cell r="D23">
            <v>250</v>
          </cell>
          <cell r="E23">
            <v>335</v>
          </cell>
          <cell r="F23">
            <v>355</v>
          </cell>
          <cell r="G23">
            <v>355</v>
          </cell>
          <cell r="H23">
            <v>355</v>
          </cell>
          <cell r="I23">
            <v>355</v>
          </cell>
          <cell r="J23">
            <v>355</v>
          </cell>
          <cell r="K23">
            <v>355</v>
          </cell>
        </row>
        <row r="24">
          <cell r="B24" t="str">
            <v>EcoTi-07</v>
          </cell>
          <cell r="C24">
            <v>385</v>
          </cell>
          <cell r="D24">
            <v>600</v>
          </cell>
          <cell r="E24">
            <v>1000</v>
          </cell>
          <cell r="F24">
            <v>1000</v>
          </cell>
          <cell r="G24">
            <v>710</v>
          </cell>
          <cell r="H24">
            <v>575</v>
          </cell>
          <cell r="I24">
            <v>445</v>
          </cell>
          <cell r="J24">
            <v>390</v>
          </cell>
          <cell r="K24">
            <v>390</v>
          </cell>
        </row>
        <row r="25">
          <cell r="B25" t="str">
            <v>EcoTi-08</v>
          </cell>
          <cell r="C25">
            <v>20</v>
          </cell>
          <cell r="D25">
            <v>35</v>
          </cell>
          <cell r="E25">
            <v>50</v>
          </cell>
          <cell r="F25">
            <v>65</v>
          </cell>
          <cell r="G25">
            <v>80</v>
          </cell>
          <cell r="H25">
            <v>100</v>
          </cell>
          <cell r="I25">
            <v>115</v>
          </cell>
          <cell r="J25">
            <v>125</v>
          </cell>
          <cell r="K25">
            <v>125</v>
          </cell>
        </row>
        <row r="26">
          <cell r="B26" t="str">
            <v>EcoTi-09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50</v>
          </cell>
          <cell r="H26">
            <v>100</v>
          </cell>
          <cell r="I26">
            <v>150</v>
          </cell>
          <cell r="J26">
            <v>200</v>
          </cell>
          <cell r="K26">
            <v>250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34"/>
  <sheetViews>
    <sheetView workbookViewId="0">
      <selection activeCell="K20" sqref="K20"/>
    </sheetView>
  </sheetViews>
  <sheetFormatPr baseColWidth="10" defaultRowHeight="12.75" x14ac:dyDescent="0.2"/>
  <cols>
    <col min="6" max="6" width="6.7109375" customWidth="1"/>
    <col min="7" max="7" width="4.7109375" customWidth="1"/>
    <col min="8" max="8" width="13.7109375" customWidth="1"/>
    <col min="9" max="9" width="8.85546875" customWidth="1"/>
    <col min="11" max="11" width="14.85546875" customWidth="1"/>
    <col min="13" max="13" width="8.5703125" customWidth="1"/>
    <col min="14" max="14" width="8.42578125" customWidth="1"/>
    <col min="15" max="15" width="9" customWidth="1"/>
    <col min="16" max="16" width="5.7109375" customWidth="1"/>
    <col min="17" max="17" width="5.5703125" customWidth="1"/>
  </cols>
  <sheetData>
    <row r="2" spans="1:14" s="48" customFormat="1" ht="23.25" x14ac:dyDescent="0.35">
      <c r="A2" s="48" t="s">
        <v>53</v>
      </c>
      <c r="H2" s="48" t="s">
        <v>61</v>
      </c>
      <c r="K2" s="48" t="s">
        <v>74</v>
      </c>
    </row>
    <row r="4" spans="1:14" x14ac:dyDescent="0.2">
      <c r="A4" s="83" t="s">
        <v>6</v>
      </c>
      <c r="B4" s="83"/>
      <c r="C4" s="83"/>
      <c r="D4" s="83"/>
      <c r="E4" s="4">
        <v>1.7004146449723441</v>
      </c>
      <c r="H4" s="66">
        <v>1</v>
      </c>
      <c r="I4" s="70">
        <v>1.25</v>
      </c>
      <c r="K4" s="65" t="s">
        <v>75</v>
      </c>
      <c r="L4" s="67">
        <v>10</v>
      </c>
    </row>
    <row r="5" spans="1:14" x14ac:dyDescent="0.2">
      <c r="A5" s="83" t="s">
        <v>54</v>
      </c>
      <c r="B5" s="83"/>
      <c r="C5" s="83"/>
      <c r="D5" s="83"/>
      <c r="E5" s="4">
        <v>1.1255088099999999</v>
      </c>
    </row>
    <row r="6" spans="1:14" ht="25.5" x14ac:dyDescent="0.2">
      <c r="A6" s="71"/>
      <c r="B6" s="71"/>
      <c r="C6" s="71"/>
      <c r="D6" s="71"/>
      <c r="E6" s="72"/>
      <c r="K6" s="75" t="s">
        <v>81</v>
      </c>
      <c r="L6" s="63">
        <v>0.99</v>
      </c>
    </row>
    <row r="7" spans="1:14" x14ac:dyDescent="0.2">
      <c r="A7" s="83" t="s">
        <v>8</v>
      </c>
      <c r="B7" s="83"/>
      <c r="C7" s="83"/>
      <c r="D7" s="83"/>
      <c r="E7" s="4">
        <v>0.11255088099999999</v>
      </c>
    </row>
    <row r="8" spans="1:14" ht="23.25" x14ac:dyDescent="0.35">
      <c r="A8" s="83" t="s">
        <v>55</v>
      </c>
      <c r="B8" s="83"/>
      <c r="C8" s="83"/>
      <c r="D8" s="83"/>
      <c r="E8" s="5">
        <v>8.4413160749999994E-2</v>
      </c>
      <c r="K8" s="48" t="s">
        <v>77</v>
      </c>
      <c r="L8" s="48"/>
      <c r="M8" s="48"/>
      <c r="N8" s="48"/>
    </row>
    <row r="9" spans="1:14" x14ac:dyDescent="0.2">
      <c r="A9" s="83" t="s">
        <v>10</v>
      </c>
      <c r="B9" s="83"/>
      <c r="C9" s="83"/>
      <c r="D9" s="83"/>
      <c r="E9" s="5">
        <v>0.18758480166666663</v>
      </c>
    </row>
    <row r="10" spans="1:14" x14ac:dyDescent="0.2">
      <c r="A10" s="83" t="s">
        <v>56</v>
      </c>
      <c r="B10" s="83"/>
      <c r="C10" s="83"/>
      <c r="D10" s="83"/>
      <c r="E10" s="5">
        <v>5.6275440499999996E-2</v>
      </c>
      <c r="K10" s="65" t="s">
        <v>82</v>
      </c>
      <c r="L10" s="70">
        <f>15.05*1.4</f>
        <v>21.07</v>
      </c>
    </row>
    <row r="11" spans="1:14" x14ac:dyDescent="0.2">
      <c r="K11" s="11" t="s">
        <v>83</v>
      </c>
    </row>
    <row r="12" spans="1:14" x14ac:dyDescent="0.2">
      <c r="A12" s="49" t="s">
        <v>58</v>
      </c>
      <c r="B12" s="50"/>
      <c r="C12" s="50"/>
      <c r="D12" s="51"/>
      <c r="E12" s="5">
        <v>0.9</v>
      </c>
      <c r="K12" s="65" t="s">
        <v>87</v>
      </c>
      <c r="L12" s="70">
        <f>43*1.4</f>
        <v>60.199999999999996</v>
      </c>
    </row>
    <row r="13" spans="1:14" x14ac:dyDescent="0.2">
      <c r="A13" s="49" t="s">
        <v>57</v>
      </c>
      <c r="B13" s="50"/>
      <c r="C13" s="50"/>
      <c r="D13" s="51"/>
      <c r="E13" s="5">
        <v>0.75</v>
      </c>
      <c r="L13" s="70">
        <f>(L10*1000+L12*L16)/N17</f>
        <v>24.08</v>
      </c>
    </row>
    <row r="14" spans="1:14" x14ac:dyDescent="0.2">
      <c r="L14" s="11" t="s">
        <v>85</v>
      </c>
      <c r="M14" s="11" t="s">
        <v>86</v>
      </c>
    </row>
    <row r="15" spans="1:14" x14ac:dyDescent="0.2">
      <c r="A15" s="49" t="s">
        <v>71</v>
      </c>
      <c r="B15" s="50"/>
      <c r="C15" s="50"/>
      <c r="D15" s="51"/>
      <c r="E15" s="63">
        <v>0.8</v>
      </c>
      <c r="K15" s="11" t="s">
        <v>84</v>
      </c>
      <c r="L15">
        <v>350</v>
      </c>
      <c r="M15">
        <v>650</v>
      </c>
      <c r="N15">
        <f>L15+M15</f>
        <v>1000</v>
      </c>
    </row>
    <row r="16" spans="1:14" x14ac:dyDescent="0.2">
      <c r="K16" s="76" t="s">
        <v>85</v>
      </c>
      <c r="L16">
        <f>L17-L15</f>
        <v>83.333333333333314</v>
      </c>
      <c r="N16">
        <f>L16+M16</f>
        <v>83.333333333333314</v>
      </c>
    </row>
    <row r="17" spans="1:14" x14ac:dyDescent="0.2">
      <c r="L17">
        <f>M17/6*4</f>
        <v>433.33333333333331</v>
      </c>
      <c r="M17">
        <f>M15+M16</f>
        <v>650</v>
      </c>
      <c r="N17">
        <f>L17+M17</f>
        <v>1083.3333333333333</v>
      </c>
    </row>
    <row r="18" spans="1:14" ht="23.25" x14ac:dyDescent="0.35">
      <c r="A18" s="48" t="s">
        <v>66</v>
      </c>
      <c r="H18" s="48" t="s">
        <v>88</v>
      </c>
    </row>
    <row r="19" spans="1:14" x14ac:dyDescent="0.2">
      <c r="A19" s="53" t="s">
        <v>62</v>
      </c>
      <c r="B19" s="54"/>
      <c r="C19" s="55">
        <v>19.010000000000002</v>
      </c>
      <c r="E19" s="84">
        <v>24.78</v>
      </c>
      <c r="H19" s="65" t="s">
        <v>89</v>
      </c>
      <c r="I19" s="77">
        <f>9207.3171/4033.89</f>
        <v>2.2824908710946508</v>
      </c>
    </row>
    <row r="20" spans="1:14" x14ac:dyDescent="0.2">
      <c r="A20" s="52" t="s">
        <v>63</v>
      </c>
      <c r="B20" s="51"/>
      <c r="C20" s="55">
        <v>6.73</v>
      </c>
      <c r="E20" s="84">
        <v>9.41</v>
      </c>
      <c r="H20" s="65" t="s">
        <v>90</v>
      </c>
      <c r="I20" s="77">
        <f>4576.98736/4033.89</f>
        <v>1.1346336563466035</v>
      </c>
    </row>
    <row r="21" spans="1:14" x14ac:dyDescent="0.2">
      <c r="A21" s="52" t="s">
        <v>64</v>
      </c>
      <c r="B21" s="51"/>
      <c r="C21" s="55">
        <v>3.88</v>
      </c>
      <c r="E21" s="84">
        <v>4.95</v>
      </c>
      <c r="H21" s="78" t="s">
        <v>99</v>
      </c>
      <c r="I21" s="79">
        <v>2.1041089736326474E-2</v>
      </c>
    </row>
    <row r="22" spans="1:14" x14ac:dyDescent="0.2">
      <c r="A22" s="52" t="s">
        <v>65</v>
      </c>
      <c r="B22" s="51"/>
      <c r="C22" s="55">
        <v>0</v>
      </c>
      <c r="E22" s="84">
        <v>0</v>
      </c>
      <c r="H22" s="78" t="s">
        <v>100</v>
      </c>
      <c r="I22" s="79">
        <v>1.0533156511823433E-2</v>
      </c>
    </row>
    <row r="23" spans="1:14" x14ac:dyDescent="0.2">
      <c r="E23" s="11" t="s">
        <v>123</v>
      </c>
      <c r="H23" s="78" t="s">
        <v>105</v>
      </c>
      <c r="I23" s="79">
        <v>1.9732138571523523E-2</v>
      </c>
    </row>
    <row r="24" spans="1:14" ht="23.25" x14ac:dyDescent="0.35">
      <c r="A24" s="48" t="s">
        <v>109</v>
      </c>
      <c r="H24" s="78" t="s">
        <v>107</v>
      </c>
      <c r="I24" s="79">
        <v>1.3371609048756896E-2</v>
      </c>
    </row>
    <row r="25" spans="1:14" x14ac:dyDescent="0.2">
      <c r="A25" s="52" t="s">
        <v>63</v>
      </c>
      <c r="B25" s="51"/>
      <c r="C25" s="55">
        <v>1</v>
      </c>
    </row>
    <row r="26" spans="1:14" x14ac:dyDescent="0.2">
      <c r="A26" s="52" t="s">
        <v>64</v>
      </c>
      <c r="B26" s="51"/>
      <c r="C26" s="55">
        <v>0.6</v>
      </c>
    </row>
    <row r="28" spans="1:14" ht="23.25" x14ac:dyDescent="0.35">
      <c r="A28" s="48" t="s">
        <v>110</v>
      </c>
    </row>
    <row r="29" spans="1:14" x14ac:dyDescent="0.2">
      <c r="A29" s="52" t="s">
        <v>63</v>
      </c>
      <c r="B29" s="51"/>
      <c r="C29" s="55">
        <v>1</v>
      </c>
    </row>
    <row r="30" spans="1:14" x14ac:dyDescent="0.2">
      <c r="A30" s="52" t="s">
        <v>64</v>
      </c>
      <c r="B30" s="51"/>
      <c r="C30" s="55">
        <v>0.6</v>
      </c>
    </row>
    <row r="32" spans="1:14" ht="23.25" x14ac:dyDescent="0.35">
      <c r="A32" s="48" t="s">
        <v>111</v>
      </c>
    </row>
    <row r="33" spans="1:3" x14ac:dyDescent="0.2">
      <c r="A33" s="52" t="s">
        <v>63</v>
      </c>
      <c r="B33" s="51"/>
      <c r="C33" s="55">
        <v>1</v>
      </c>
    </row>
    <row r="34" spans="1:3" x14ac:dyDescent="0.2">
      <c r="A34" s="52" t="s">
        <v>64</v>
      </c>
      <c r="B34" s="51"/>
      <c r="C34" s="55">
        <v>0.6</v>
      </c>
    </row>
  </sheetData>
  <mergeCells count="6">
    <mergeCell ref="A10:D10"/>
    <mergeCell ref="A4:D4"/>
    <mergeCell ref="A5:D5"/>
    <mergeCell ref="A7:D7"/>
    <mergeCell ref="A8:D8"/>
    <mergeCell ref="A9:D9"/>
  </mergeCells>
  <phoneticPr fontId="2" type="noConversion"/>
  <pageMargins left="0.78740157499999996" right="0.78740157499999996" top="0.984251969" bottom="0.984251969" header="0.4921259845" footer="0.4921259845"/>
  <pageSetup orientation="portrait" horizontalDpi="1200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F2" sqref="F2"/>
    </sheetView>
  </sheetViews>
  <sheetFormatPr baseColWidth="10" defaultRowHeight="12.75" x14ac:dyDescent="0.2"/>
  <cols>
    <col min="3" max="3" width="14.5703125" customWidth="1"/>
    <col min="4" max="4" width="12.28515625" customWidth="1"/>
    <col min="11" max="11" width="20.85546875" customWidth="1"/>
  </cols>
  <sheetData>
    <row r="1" spans="1:14" x14ac:dyDescent="0.2">
      <c r="A1" s="9" t="s">
        <v>79</v>
      </c>
    </row>
    <row r="2" spans="1:14" s="57" customFormat="1" ht="47.25" x14ac:dyDescent="0.25">
      <c r="B2" s="58" t="s">
        <v>67</v>
      </c>
      <c r="C2" s="59" t="s">
        <v>69</v>
      </c>
      <c r="D2" s="59" t="s">
        <v>68</v>
      </c>
      <c r="K2" s="57" t="s">
        <v>115</v>
      </c>
    </row>
    <row r="3" spans="1:14" x14ac:dyDescent="0.2">
      <c r="A3" t="s">
        <v>0</v>
      </c>
      <c r="B3" s="2">
        <v>827</v>
      </c>
      <c r="C3">
        <v>1</v>
      </c>
      <c r="D3" s="60">
        <f>B3*C3</f>
        <v>827</v>
      </c>
      <c r="G3" s="2"/>
    </row>
    <row r="4" spans="1:14" x14ac:dyDescent="0.2">
      <c r="A4" t="s">
        <v>1</v>
      </c>
      <c r="B4" s="2">
        <v>3006</v>
      </c>
      <c r="C4">
        <v>0.6</v>
      </c>
      <c r="D4" s="60">
        <f>B4*C4</f>
        <v>1803.6</v>
      </c>
      <c r="G4" s="2"/>
      <c r="K4" s="11" t="s">
        <v>108</v>
      </c>
      <c r="L4" s="3">
        <f>'Calcul Devis 100% Chutes'!AD12</f>
        <v>16.059949971427319</v>
      </c>
      <c r="N4" t="s">
        <v>113</v>
      </c>
    </row>
    <row r="5" spans="1:14" x14ac:dyDescent="0.2">
      <c r="A5" t="s">
        <v>13</v>
      </c>
      <c r="B5" s="56">
        <f>B3+B4</f>
        <v>3833</v>
      </c>
      <c r="D5" s="56">
        <f>D3+D4</f>
        <v>2630.6</v>
      </c>
      <c r="G5" s="56"/>
      <c r="K5" s="11" t="s">
        <v>112</v>
      </c>
      <c r="L5" s="46">
        <f>'Calcul Devis 100% Chutes'!AD10</f>
        <v>5326.9999999999991</v>
      </c>
    </row>
    <row r="6" spans="1:14" x14ac:dyDescent="0.2">
      <c r="D6" s="61"/>
    </row>
    <row r="7" spans="1:14" x14ac:dyDescent="0.2">
      <c r="A7" s="9" t="s">
        <v>51</v>
      </c>
      <c r="D7" s="61"/>
    </row>
    <row r="8" spans="1:14" ht="15.75" x14ac:dyDescent="0.25">
      <c r="B8" s="1" t="s">
        <v>2</v>
      </c>
      <c r="D8" s="61"/>
      <c r="G8" s="1"/>
      <c r="K8" s="57" t="s">
        <v>116</v>
      </c>
    </row>
    <row r="9" spans="1:14" x14ac:dyDescent="0.2">
      <c r="A9" t="s">
        <v>0</v>
      </c>
      <c r="B9" s="2">
        <v>231</v>
      </c>
      <c r="C9">
        <v>1</v>
      </c>
      <c r="D9" s="60">
        <f>B9*C9</f>
        <v>231</v>
      </c>
      <c r="G9" s="2"/>
      <c r="K9" t="s">
        <v>117</v>
      </c>
      <c r="L9" s="3">
        <f>'Calcul Devis Chutes EC + Lgt Sp'!AD12</f>
        <v>14.915720141474878</v>
      </c>
    </row>
    <row r="10" spans="1:14" x14ac:dyDescent="0.2">
      <c r="A10" t="s">
        <v>1</v>
      </c>
      <c r="B10" s="2">
        <f>L23</f>
        <v>254.21550000000002</v>
      </c>
      <c r="C10">
        <v>0.6</v>
      </c>
      <c r="D10" s="60">
        <f>B10*C10</f>
        <v>152.52930000000001</v>
      </c>
      <c r="G10" s="2"/>
      <c r="K10" t="s">
        <v>119</v>
      </c>
      <c r="L10" s="46">
        <f>'Calcul Devis Chutes EC + Lgt Sp'!AD10</f>
        <v>3958.5791798706082</v>
      </c>
    </row>
    <row r="11" spans="1:14" x14ac:dyDescent="0.2">
      <c r="A11" t="s">
        <v>13</v>
      </c>
      <c r="B11" s="56">
        <f>B9+B10</f>
        <v>485.21550000000002</v>
      </c>
      <c r="D11" s="56">
        <f>D9+D10</f>
        <v>383.52930000000003</v>
      </c>
      <c r="G11" s="56"/>
      <c r="K11" t="s">
        <v>118</v>
      </c>
      <c r="L11">
        <f>pxmarlingot</f>
        <v>19.010000000000002</v>
      </c>
    </row>
    <row r="12" spans="1:14" x14ac:dyDescent="0.2">
      <c r="D12" s="61"/>
      <c r="K12" t="s">
        <v>120</v>
      </c>
      <c r="L12" s="46">
        <f>L5-L10</f>
        <v>1368.4208201293909</v>
      </c>
    </row>
    <row r="13" spans="1:14" x14ac:dyDescent="0.2">
      <c r="A13" s="9" t="s">
        <v>52</v>
      </c>
      <c r="D13" s="61"/>
      <c r="K13" t="s">
        <v>121</v>
      </c>
      <c r="L13" s="3">
        <f>(L9*L10+L11*L12)/L14</f>
        <v>15.967474938141333</v>
      </c>
    </row>
    <row r="14" spans="1:14" x14ac:dyDescent="0.2">
      <c r="B14" s="1" t="s">
        <v>2</v>
      </c>
      <c r="D14" s="61"/>
      <c r="G14" s="1"/>
      <c r="K14" t="s">
        <v>122</v>
      </c>
      <c r="L14" s="46">
        <f>L12+L10</f>
        <v>5326.9999999999991</v>
      </c>
    </row>
    <row r="15" spans="1:14" x14ac:dyDescent="0.2">
      <c r="A15" t="s">
        <v>0</v>
      </c>
      <c r="B15" s="2">
        <v>0</v>
      </c>
      <c r="C15">
        <f>pxnegmassif</f>
        <v>1</v>
      </c>
      <c r="D15" s="60">
        <f>B15*C15</f>
        <v>0</v>
      </c>
      <c r="G15" s="2"/>
    </row>
    <row r="16" spans="1:14" x14ac:dyDescent="0.2">
      <c r="A16" t="s">
        <v>1</v>
      </c>
      <c r="B16" s="2">
        <v>0</v>
      </c>
      <c r="C16">
        <f>pxnegcopeau</f>
        <v>0.6</v>
      </c>
      <c r="D16" s="60">
        <f>B16*C16</f>
        <v>0</v>
      </c>
      <c r="G16" s="2"/>
    </row>
    <row r="17" spans="1:12" x14ac:dyDescent="0.2">
      <c r="A17" t="s">
        <v>13</v>
      </c>
      <c r="B17" s="56">
        <f>B15+B16</f>
        <v>0</v>
      </c>
      <c r="D17" s="56">
        <f>D15+D16</f>
        <v>0</v>
      </c>
      <c r="G17" s="56"/>
    </row>
    <row r="18" spans="1:12" x14ac:dyDescent="0.2">
      <c r="B18" s="2"/>
      <c r="D18" s="61"/>
      <c r="G18" s="2"/>
      <c r="K18" s="11" t="s">
        <v>124</v>
      </c>
      <c r="L18">
        <v>4402</v>
      </c>
    </row>
    <row r="19" spans="1:12" x14ac:dyDescent="0.2">
      <c r="A19" s="9" t="s">
        <v>4</v>
      </c>
      <c r="D19" s="61"/>
      <c r="K19" s="11" t="s">
        <v>125</v>
      </c>
      <c r="L19">
        <f>L18*1.21</f>
        <v>5326.42</v>
      </c>
    </row>
    <row r="20" spans="1:12" x14ac:dyDescent="0.2">
      <c r="B20" s="1" t="s">
        <v>2</v>
      </c>
      <c r="D20" s="61"/>
      <c r="G20" s="1"/>
    </row>
    <row r="21" spans="1:12" x14ac:dyDescent="0.2">
      <c r="A21" t="s">
        <v>0</v>
      </c>
      <c r="B21" s="2">
        <f>L31</f>
        <v>787.11513337519955</v>
      </c>
      <c r="C21">
        <f>pxmarmassif</f>
        <v>6.73</v>
      </c>
      <c r="D21" s="60">
        <f>B21*C21</f>
        <v>5297.284847615093</v>
      </c>
      <c r="G21" s="2"/>
      <c r="K21" s="11" t="s">
        <v>126</v>
      </c>
      <c r="L21">
        <f>0.0525*L18</f>
        <v>231.10499999999999</v>
      </c>
    </row>
    <row r="22" spans="1:12" x14ac:dyDescent="0.2">
      <c r="A22" t="s">
        <v>1</v>
      </c>
      <c r="B22" s="2">
        <f>L32</f>
        <v>621.35039740623768</v>
      </c>
      <c r="C22">
        <f>pxmarcopeau</f>
        <v>3.88</v>
      </c>
      <c r="D22" s="60">
        <f>B22*C22</f>
        <v>2410.8395419362023</v>
      </c>
      <c r="G22" s="2"/>
      <c r="K22" s="11" t="s">
        <v>1</v>
      </c>
      <c r="L22">
        <f>0.1155*L18</f>
        <v>508.43100000000004</v>
      </c>
    </row>
    <row r="23" spans="1:12" x14ac:dyDescent="0.2">
      <c r="A23" t="s">
        <v>13</v>
      </c>
      <c r="B23" s="56">
        <f>B21+B22</f>
        <v>1408.4655307814373</v>
      </c>
      <c r="D23" s="56">
        <f>D21+D22</f>
        <v>7708.1243895512953</v>
      </c>
      <c r="G23" s="56"/>
      <c r="K23" s="11" t="s">
        <v>214</v>
      </c>
      <c r="L23">
        <f>L22/2</f>
        <v>254.21550000000002</v>
      </c>
    </row>
    <row r="24" spans="1:12" ht="15" x14ac:dyDescent="0.25">
      <c r="K24" s="85"/>
      <c r="L24" s="85"/>
    </row>
    <row r="25" spans="1:12" x14ac:dyDescent="0.2">
      <c r="K25" s="11" t="s">
        <v>215</v>
      </c>
    </row>
    <row r="26" spans="1:12" x14ac:dyDescent="0.2">
      <c r="A26" s="9" t="s">
        <v>50</v>
      </c>
      <c r="K26" s="11" t="s">
        <v>59</v>
      </c>
      <c r="L26">
        <v>8096</v>
      </c>
    </row>
    <row r="27" spans="1:12" x14ac:dyDescent="0.2">
      <c r="B27" s="1" t="s">
        <v>2</v>
      </c>
      <c r="K27" s="11" t="s">
        <v>1</v>
      </c>
      <c r="L27">
        <v>6391</v>
      </c>
    </row>
    <row r="28" spans="1:12" x14ac:dyDescent="0.2">
      <c r="A28" t="s">
        <v>48</v>
      </c>
      <c r="B28" s="56">
        <f>B3+B9+B15+B21</f>
        <v>1845.1151333751995</v>
      </c>
      <c r="C28" s="64">
        <f>B28/B30</f>
        <v>0.3221962465619328</v>
      </c>
      <c r="D28" s="62">
        <f>D3+D9+D15+D21</f>
        <v>6355.284847615093</v>
      </c>
    </row>
    <row r="29" spans="1:12" x14ac:dyDescent="0.2">
      <c r="A29" t="s">
        <v>49</v>
      </c>
      <c r="B29" s="56">
        <f>B4+B10+B16+B22</f>
        <v>3881.565897406238</v>
      </c>
      <c r="C29" s="64">
        <f>B29/B30</f>
        <v>0.6778037534380672</v>
      </c>
      <c r="D29" s="62">
        <f>D4+D10+D16+D22</f>
        <v>4366.9688419362019</v>
      </c>
      <c r="K29" s="11" t="s">
        <v>216</v>
      </c>
      <c r="L29">
        <v>9.7222719043379396E-2</v>
      </c>
    </row>
    <row r="30" spans="1:12" x14ac:dyDescent="0.2">
      <c r="A30" t="s">
        <v>50</v>
      </c>
      <c r="B30" s="56">
        <f>B28+B29</f>
        <v>5726.6810307814376</v>
      </c>
      <c r="D30" s="56">
        <f>D28+D29</f>
        <v>10722.253689551295</v>
      </c>
      <c r="G30" s="56"/>
      <c r="K30" s="11" t="s">
        <v>217</v>
      </c>
    </row>
    <row r="31" spans="1:12" x14ac:dyDescent="0.2">
      <c r="K31" s="94" t="s">
        <v>219</v>
      </c>
      <c r="L31" s="95">
        <f>L26*L29</f>
        <v>787.11513337519955</v>
      </c>
    </row>
    <row r="32" spans="1:12" x14ac:dyDescent="0.2">
      <c r="K32" s="94" t="s">
        <v>218</v>
      </c>
      <c r="L32" s="95">
        <f>L27*L29</f>
        <v>621.35039740623768</v>
      </c>
    </row>
    <row r="33" spans="1:4" x14ac:dyDescent="0.2">
      <c r="A33" s="9" t="s">
        <v>114</v>
      </c>
    </row>
    <row r="34" spans="1:4" x14ac:dyDescent="0.2">
      <c r="B34" s="1" t="s">
        <v>2</v>
      </c>
    </row>
    <row r="35" spans="1:4" x14ac:dyDescent="0.2">
      <c r="A35" t="s">
        <v>48</v>
      </c>
      <c r="B35" s="56">
        <f>B28-B21</f>
        <v>1058</v>
      </c>
      <c r="D35" s="62">
        <f>D28-D21</f>
        <v>1058</v>
      </c>
    </row>
    <row r="36" spans="1:4" x14ac:dyDescent="0.2">
      <c r="A36" t="s">
        <v>49</v>
      </c>
      <c r="B36" s="56">
        <f>B29-B22</f>
        <v>3260.2155000000002</v>
      </c>
      <c r="D36" s="62">
        <f>D29-D22</f>
        <v>1956.1292999999996</v>
      </c>
    </row>
    <row r="37" spans="1:4" x14ac:dyDescent="0.2">
      <c r="A37" t="s">
        <v>50</v>
      </c>
      <c r="B37" s="56">
        <f>B35+B36</f>
        <v>4318.2155000000002</v>
      </c>
      <c r="D37" s="56">
        <f>D35+D36</f>
        <v>3014.1292999999996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58"/>
  <sheetViews>
    <sheetView topLeftCell="S1" workbookViewId="0">
      <selection activeCell="AF26" sqref="AF26"/>
    </sheetView>
  </sheetViews>
  <sheetFormatPr baseColWidth="10" defaultRowHeight="12.75" x14ac:dyDescent="0.2"/>
  <cols>
    <col min="1" max="1" width="16" customWidth="1"/>
    <col min="2" max="2" width="8.7109375" bestFit="1" customWidth="1"/>
    <col min="3" max="3" width="8.5703125" bestFit="1" customWidth="1"/>
    <col min="4" max="4" width="5.42578125" customWidth="1"/>
    <col min="5" max="5" width="8.5703125" customWidth="1"/>
    <col min="6" max="6" width="10.28515625" customWidth="1"/>
    <col min="7" max="7" width="11.7109375" customWidth="1"/>
    <col min="8" max="8" width="10.5703125" customWidth="1"/>
    <col min="9" max="9" width="7.42578125" customWidth="1"/>
    <col min="10" max="10" width="8.85546875" customWidth="1"/>
    <col min="11" max="11" width="8.5703125" customWidth="1"/>
    <col min="12" max="12" width="9.7109375" customWidth="1"/>
    <col min="13" max="13" width="4.28515625" customWidth="1"/>
    <col min="14" max="14" width="16.85546875" customWidth="1"/>
    <col min="15" max="15" width="7.5703125" bestFit="1" customWidth="1"/>
    <col min="16" max="16" width="8.5703125" customWidth="1"/>
    <col min="17" max="17" width="4.140625" customWidth="1"/>
    <col min="18" max="18" width="8.28515625" customWidth="1"/>
    <col min="19" max="19" width="8.5703125" bestFit="1" customWidth="1"/>
    <col min="20" max="20" width="4.7109375" customWidth="1"/>
    <col min="21" max="21" width="8.5703125" customWidth="1"/>
    <col min="22" max="22" width="7.5703125" bestFit="1" customWidth="1"/>
    <col min="23" max="23" width="4.140625" customWidth="1"/>
    <col min="24" max="24" width="13.140625" customWidth="1"/>
    <col min="25" max="26" width="7.7109375" customWidth="1"/>
    <col min="27" max="27" width="7.5703125" bestFit="1" customWidth="1"/>
    <col min="28" max="28" width="4.42578125" customWidth="1"/>
    <col min="29" max="29" width="26" customWidth="1"/>
    <col min="30" max="30" width="9.5703125" bestFit="1" customWidth="1"/>
  </cols>
  <sheetData>
    <row r="1" spans="1:31" ht="26.25" x14ac:dyDescent="0.4">
      <c r="A1" s="8" t="s">
        <v>20</v>
      </c>
    </row>
    <row r="2" spans="1:31" x14ac:dyDescent="0.2">
      <c r="S2">
        <f>S8/1.4</f>
        <v>10856.097205643931</v>
      </c>
    </row>
    <row r="3" spans="1:31" x14ac:dyDescent="0.2">
      <c r="P3" s="2"/>
    </row>
    <row r="6" spans="1:31" x14ac:dyDescent="0.2">
      <c r="A6" s="9" t="s">
        <v>50</v>
      </c>
      <c r="D6" s="10"/>
      <c r="E6" s="9" t="s">
        <v>5</v>
      </c>
      <c r="F6" s="9"/>
      <c r="I6" s="10"/>
      <c r="J6" s="9" t="s">
        <v>12</v>
      </c>
      <c r="M6" s="10"/>
      <c r="N6" s="9" t="s">
        <v>23</v>
      </c>
      <c r="Q6" s="10"/>
      <c r="R6" s="9" t="s">
        <v>14</v>
      </c>
      <c r="T6" s="10"/>
      <c r="U6" s="9" t="s">
        <v>16</v>
      </c>
      <c r="W6" s="10"/>
      <c r="X6" s="9" t="s">
        <v>17</v>
      </c>
      <c r="Y6" s="9"/>
      <c r="Z6" s="9"/>
      <c r="AB6" s="10"/>
      <c r="AC6" s="9" t="s">
        <v>18</v>
      </c>
    </row>
    <row r="7" spans="1:31" x14ac:dyDescent="0.2">
      <c r="B7" s="1" t="s">
        <v>2</v>
      </c>
      <c r="C7" s="1" t="s">
        <v>3</v>
      </c>
      <c r="D7" s="10"/>
      <c r="F7" s="1" t="s">
        <v>47</v>
      </c>
      <c r="G7" s="1" t="s">
        <v>2</v>
      </c>
      <c r="H7" s="1" t="s">
        <v>3</v>
      </c>
      <c r="I7" s="10"/>
      <c r="K7" s="1" t="s">
        <v>2</v>
      </c>
      <c r="L7" s="1" t="s">
        <v>3</v>
      </c>
      <c r="M7" s="10"/>
      <c r="O7" s="1" t="s">
        <v>2</v>
      </c>
      <c r="P7" s="1" t="s">
        <v>3</v>
      </c>
      <c r="Q7" s="10"/>
      <c r="S7" s="1" t="s">
        <v>3</v>
      </c>
      <c r="T7" s="10"/>
      <c r="V7" s="1" t="s">
        <v>3</v>
      </c>
      <c r="W7" s="10"/>
      <c r="Y7" t="s">
        <v>102</v>
      </c>
      <c r="Z7" s="11" t="s">
        <v>101</v>
      </c>
      <c r="AA7" s="1" t="s">
        <v>3</v>
      </c>
      <c r="AB7" s="10"/>
      <c r="AD7" s="1" t="s">
        <v>3</v>
      </c>
    </row>
    <row r="8" spans="1:31" x14ac:dyDescent="0.2">
      <c r="A8" t="s">
        <v>48</v>
      </c>
      <c r="B8" s="46">
        <f>Matières!B28</f>
        <v>1845.1151333751995</v>
      </c>
      <c r="C8" s="46">
        <f>Matières!D28</f>
        <v>6355.284847615093</v>
      </c>
      <c r="D8" s="10"/>
      <c r="E8" s="11" t="s">
        <v>59</v>
      </c>
      <c r="F8" s="3">
        <f>Rdtmassifs</f>
        <v>0.9</v>
      </c>
      <c r="G8" s="2">
        <f>F8*B8</f>
        <v>1660.6036200376795</v>
      </c>
      <c r="H8" s="2">
        <f>((G8/F8)*(I29+I31)+(G8*I33))*parite</f>
        <v>2907.3706733093568</v>
      </c>
      <c r="I8" s="10"/>
      <c r="J8" t="s">
        <v>0</v>
      </c>
      <c r="K8" s="2">
        <f>tmassifs-G8</f>
        <v>184.51151333752</v>
      </c>
      <c r="L8" s="1"/>
      <c r="M8" s="10"/>
      <c r="N8" s="11" t="s">
        <v>72</v>
      </c>
      <c r="O8" s="2">
        <f>O12*0.9/O14</f>
        <v>1039.0404643391723</v>
      </c>
      <c r="P8">
        <f>O8*pxeponge</f>
        <v>10390.404643391723</v>
      </c>
      <c r="Q8" s="10"/>
      <c r="R8" t="s">
        <v>15</v>
      </c>
      <c r="S8" s="2">
        <f>cdfusion*AD10*parite</f>
        <v>15198.536087901502</v>
      </c>
      <c r="T8" s="10"/>
      <c r="U8" t="s">
        <v>15</v>
      </c>
      <c r="V8" s="2">
        <f>fgxfusion*AD10*parite</f>
        <v>7555.2418591979449</v>
      </c>
      <c r="W8" s="10"/>
      <c r="X8" s="11" t="s">
        <v>97</v>
      </c>
      <c r="Z8" s="3">
        <f>G10+O12</f>
        <v>5714.7225538654475</v>
      </c>
      <c r="AB8" s="10"/>
      <c r="AC8" t="s">
        <v>15</v>
      </c>
      <c r="AD8" s="2">
        <f>AD10*25</f>
        <v>133174.99999999997</v>
      </c>
    </row>
    <row r="9" spans="1:31" x14ac:dyDescent="0.2">
      <c r="A9" t="s">
        <v>49</v>
      </c>
      <c r="B9" s="46">
        <f>Matières!B29</f>
        <v>3881.565897406238</v>
      </c>
      <c r="C9" s="46">
        <f>Matières!D29</f>
        <v>4366.9688419362019</v>
      </c>
      <c r="D9" s="10"/>
      <c r="E9" t="s">
        <v>1</v>
      </c>
      <c r="F9">
        <f>Rdtcopeaux</f>
        <v>0.75</v>
      </c>
      <c r="G9" s="2">
        <f>F9*B9</f>
        <v>2911.1744230546783</v>
      </c>
      <c r="H9" s="2">
        <f>((G9/F9)*(I28+I30)+G9*I32)*parite</f>
        <v>9479.0465444414967</v>
      </c>
      <c r="I9" s="10"/>
      <c r="J9" t="s">
        <v>1</v>
      </c>
      <c r="K9" s="2">
        <f>tcopeaux-G9</f>
        <v>970.39147435155974</v>
      </c>
      <c r="L9" s="1"/>
      <c r="M9" s="10"/>
      <c r="O9" s="1"/>
      <c r="P9" s="1"/>
      <c r="Q9" s="10"/>
      <c r="T9" s="10"/>
      <c r="W9" s="10"/>
      <c r="X9" s="11" t="s">
        <v>98</v>
      </c>
      <c r="Y9">
        <f>Z8*0.005</f>
        <v>28.573612769327237</v>
      </c>
      <c r="Z9" s="3">
        <f>Z8-Y9</f>
        <v>5686.1489410961203</v>
      </c>
      <c r="AB9" s="10"/>
    </row>
    <row r="10" spans="1:31" x14ac:dyDescent="0.2">
      <c r="A10" t="s">
        <v>50</v>
      </c>
      <c r="B10" s="2">
        <f>Matières!B30</f>
        <v>5726.6810307814376</v>
      </c>
      <c r="C10" s="2">
        <f>Matières!D30</f>
        <v>10722.253689551295</v>
      </c>
      <c r="D10" s="10"/>
      <c r="E10" t="s">
        <v>13</v>
      </c>
      <c r="G10" s="2">
        <f>SUM(G8:G9)</f>
        <v>4571.7780430923576</v>
      </c>
      <c r="H10" s="2">
        <f>SUM(H8:H9)</f>
        <v>12386.417217750854</v>
      </c>
      <c r="I10" s="10"/>
      <c r="J10" t="s">
        <v>13</v>
      </c>
      <c r="K10" s="2">
        <f>SUM(K8:K9)</f>
        <v>1154.9029876890797</v>
      </c>
      <c r="L10">
        <f>K10*krecup*pxmarferroti</f>
        <v>0</v>
      </c>
      <c r="M10" s="10"/>
      <c r="N10" s="11" t="s">
        <v>73</v>
      </c>
      <c r="O10">
        <f>O12*0.1</f>
        <v>114.29445107730895</v>
      </c>
      <c r="P10">
        <f>O10*pxmasteral</f>
        <v>2752.2103819415993</v>
      </c>
      <c r="Q10" s="10"/>
      <c r="T10" s="10"/>
      <c r="W10" s="10"/>
      <c r="X10" s="11" t="s">
        <v>103</v>
      </c>
      <c r="Y10">
        <f>Z9*ruplasma</f>
        <v>119.64277012372123</v>
      </c>
      <c r="Z10" s="3">
        <f>Z9-Y10</f>
        <v>5566.5061709723986</v>
      </c>
      <c r="AB10" s="10"/>
      <c r="AC10" t="s">
        <v>21</v>
      </c>
      <c r="AD10" s="3">
        <f>0.932153739711617*(G10+O12)</f>
        <v>5326.9999999999991</v>
      </c>
    </row>
    <row r="11" spans="1:31" x14ac:dyDescent="0.2">
      <c r="D11" s="10"/>
      <c r="I11" s="10"/>
      <c r="K11" s="3"/>
      <c r="M11" s="10"/>
      <c r="Q11" s="10"/>
      <c r="T11" s="10"/>
      <c r="W11" s="10"/>
      <c r="X11" s="11" t="s">
        <v>104</v>
      </c>
      <c r="Y11">
        <f>ruvar*Z10</f>
        <v>58.632880722883243</v>
      </c>
      <c r="Z11" s="3">
        <f>Z10-Y11</f>
        <v>5507.8732902495158</v>
      </c>
      <c r="AB11" s="10"/>
    </row>
    <row r="12" spans="1:31" x14ac:dyDescent="0.2">
      <c r="A12" s="9"/>
      <c r="D12" s="10"/>
      <c r="I12" s="10"/>
      <c r="J12" s="11" t="s">
        <v>70</v>
      </c>
      <c r="L12" s="64">
        <f>krecup</f>
        <v>0.8</v>
      </c>
      <c r="M12" s="10"/>
      <c r="N12" s="11" t="s">
        <v>76</v>
      </c>
      <c r="O12" s="3">
        <f>G10*0.25</f>
        <v>1142.9445107730894</v>
      </c>
      <c r="P12">
        <f>P10+P8</f>
        <v>13142.615025333322</v>
      </c>
      <c r="Q12" s="10"/>
      <c r="T12" s="10"/>
      <c r="W12" s="10"/>
      <c r="X12" s="11" t="s">
        <v>46</v>
      </c>
      <c r="Y12">
        <f>Z11*pertegalette</f>
        <v>108.68211899759665</v>
      </c>
      <c r="Z12" s="3">
        <f>Z11-Y12</f>
        <v>5399.1911712519195</v>
      </c>
      <c r="AB12" s="10"/>
      <c r="AC12" s="11" t="s">
        <v>91</v>
      </c>
      <c r="AD12" s="7">
        <f>AD23+AE23</f>
        <v>16.059949971427319</v>
      </c>
      <c r="AE12" t="s">
        <v>22</v>
      </c>
    </row>
    <row r="13" spans="1:31" x14ac:dyDescent="0.2">
      <c r="B13" s="1"/>
      <c r="C13" s="1"/>
      <c r="D13" s="10"/>
      <c r="I13" s="10"/>
      <c r="M13" s="10"/>
      <c r="Q13" s="10"/>
      <c r="T13" s="10"/>
      <c r="W13" s="10"/>
      <c r="X13" s="11" t="s">
        <v>106</v>
      </c>
      <c r="Y13">
        <f>Z12*perteecroutage</f>
        <v>72.195873521480507</v>
      </c>
      <c r="Z13" s="3">
        <f>Z12-Y13</f>
        <v>5326.9952977304392</v>
      </c>
      <c r="AB13" s="10"/>
    </row>
    <row r="14" spans="1:31" x14ac:dyDescent="0.2">
      <c r="B14" s="2"/>
      <c r="C14" s="2"/>
      <c r="D14" s="10"/>
      <c r="G14" s="47"/>
      <c r="I14" s="10"/>
      <c r="J14" s="11" t="s">
        <v>19</v>
      </c>
      <c r="K14">
        <f>K10*L12</f>
        <v>923.92239015126381</v>
      </c>
      <c r="L14">
        <f>K14*pxmarferroti</f>
        <v>0</v>
      </c>
      <c r="M14" s="10"/>
      <c r="N14" s="11" t="s">
        <v>80</v>
      </c>
      <c r="O14" s="64">
        <f>partepongex</f>
        <v>0.99</v>
      </c>
      <c r="Q14" s="10"/>
      <c r="T14" s="10"/>
      <c r="W14" s="10"/>
      <c r="X14" s="11"/>
      <c r="AB14" s="10"/>
      <c r="AD14" s="69">
        <f>C25+H25+L25+P25+S25+V25+AA25</f>
        <v>10.559949971427319</v>
      </c>
    </row>
    <row r="15" spans="1:31" x14ac:dyDescent="0.2">
      <c r="B15" s="2"/>
      <c r="C15" s="2"/>
      <c r="D15" s="10"/>
      <c r="G15" s="3"/>
      <c r="I15" s="10"/>
      <c r="M15" s="10"/>
      <c r="O15" s="3"/>
      <c r="Q15" s="10"/>
      <c r="T15" s="10"/>
      <c r="W15" s="10"/>
      <c r="X15" s="11"/>
      <c r="AB15" s="10"/>
    </row>
    <row r="16" spans="1:31" x14ac:dyDescent="0.2">
      <c r="B16" s="2"/>
      <c r="C16" s="2"/>
      <c r="D16" s="10"/>
      <c r="G16" s="3"/>
      <c r="I16" s="10"/>
      <c r="M16" s="10"/>
      <c r="Q16" s="10"/>
      <c r="T16" s="10"/>
      <c r="W16" s="10"/>
      <c r="AB16" s="10"/>
      <c r="AD16">
        <v>0.93215373971161697</v>
      </c>
    </row>
    <row r="17" spans="1:33" x14ac:dyDescent="0.2">
      <c r="D17" s="10"/>
      <c r="I17" s="10"/>
      <c r="M17" s="10"/>
      <c r="N17" s="2"/>
      <c r="Q17" s="10"/>
      <c r="T17" s="10"/>
      <c r="W17" s="10"/>
      <c r="X17" t="s">
        <v>37</v>
      </c>
      <c r="Y17" s="11">
        <f>SUM(Y10:Y13)</f>
        <v>359.15364336568166</v>
      </c>
      <c r="AB17" s="10"/>
    </row>
    <row r="18" spans="1:33" x14ac:dyDescent="0.2">
      <c r="A18" s="9"/>
      <c r="D18" s="10"/>
      <c r="I18" s="10"/>
      <c r="M18" s="10"/>
      <c r="Q18" s="10"/>
      <c r="T18" s="10"/>
      <c r="W18" s="10"/>
      <c r="X18" s="11" t="s">
        <v>70</v>
      </c>
      <c r="Y18" s="64">
        <f>krecup</f>
        <v>0.8</v>
      </c>
      <c r="Z18" s="68"/>
      <c r="AB18" s="10"/>
      <c r="AC18" s="3">
        <f>G10+O12</f>
        <v>5714.7225538654475</v>
      </c>
      <c r="AD18">
        <f>AD10/AC18</f>
        <v>0.93215373971161697</v>
      </c>
    </row>
    <row r="19" spans="1:33" x14ac:dyDescent="0.2">
      <c r="B19" s="1"/>
      <c r="C19" s="1"/>
      <c r="D19" s="10"/>
      <c r="I19" s="10"/>
      <c r="M19" s="10"/>
      <c r="Q19" s="10"/>
      <c r="T19" s="10"/>
      <c r="W19" s="10"/>
      <c r="X19" t="s">
        <v>15</v>
      </c>
      <c r="Y19" s="3">
        <f>Y17*Y18</f>
        <v>287.32291469254534</v>
      </c>
      <c r="Z19" s="3"/>
      <c r="AA19" s="80">
        <f>Y19*pxmarferroti</f>
        <v>0</v>
      </c>
      <c r="AB19" s="10"/>
    </row>
    <row r="20" spans="1:33" x14ac:dyDescent="0.2">
      <c r="B20" s="2"/>
      <c r="C20" s="2"/>
      <c r="D20" s="10"/>
      <c r="I20" s="10"/>
      <c r="M20" s="10"/>
      <c r="Q20" s="10"/>
      <c r="T20" s="10"/>
      <c r="W20" s="10"/>
      <c r="AB20" s="10"/>
      <c r="AC20" s="11" t="s">
        <v>78</v>
      </c>
      <c r="AD20" s="69">
        <f>AD12-AD14</f>
        <v>5.5</v>
      </c>
    </row>
    <row r="21" spans="1:33" x14ac:dyDescent="0.2">
      <c r="B21" s="2"/>
      <c r="C21" s="2"/>
      <c r="D21" s="10"/>
      <c r="I21" s="10"/>
      <c r="M21" s="10"/>
      <c r="Q21" s="10"/>
      <c r="T21" s="10"/>
      <c r="W21" s="10"/>
      <c r="Y21" s="3"/>
      <c r="Z21" s="3"/>
      <c r="AB21" s="10"/>
    </row>
    <row r="22" spans="1:33" x14ac:dyDescent="0.2">
      <c r="B22" s="2"/>
      <c r="C22" s="2"/>
      <c r="D22" s="10"/>
      <c r="I22" s="10"/>
      <c r="M22" s="10"/>
      <c r="Q22" s="10"/>
      <c r="T22" s="10"/>
      <c r="W22" s="10"/>
      <c r="AB22" s="10"/>
      <c r="AF22" s="11" t="s">
        <v>95</v>
      </c>
      <c r="AG22" s="11" t="s">
        <v>96</v>
      </c>
    </row>
    <row r="23" spans="1:33" ht="25.5" x14ac:dyDescent="0.2">
      <c r="B23" s="2"/>
      <c r="C23" s="2"/>
      <c r="D23" s="10"/>
      <c r="I23" s="10"/>
      <c r="M23" s="10"/>
      <c r="Q23" s="10"/>
      <c r="T23" s="10"/>
      <c r="W23" s="10"/>
      <c r="AB23" s="10"/>
      <c r="AC23" s="81" t="s">
        <v>92</v>
      </c>
      <c r="AD23" s="82">
        <f>C25+H25+P25+S25+V25</f>
        <v>10.559949971427319</v>
      </c>
      <c r="AE23" s="69">
        <v>5.5</v>
      </c>
      <c r="AF23" s="82">
        <f>AE23</f>
        <v>5.5</v>
      </c>
      <c r="AG23">
        <f>AF23/parite</f>
        <v>4.4000000000000004</v>
      </c>
    </row>
    <row r="24" spans="1:33" x14ac:dyDescent="0.2">
      <c r="A24" s="9"/>
      <c r="D24" s="10"/>
      <c r="I24" s="10"/>
      <c r="M24" s="10"/>
      <c r="Q24" s="10"/>
      <c r="T24" s="10"/>
      <c r="W24" s="10"/>
      <c r="AB24" s="10"/>
      <c r="AC24" s="9" t="s">
        <v>93</v>
      </c>
      <c r="AD24" s="82">
        <f>L25+AA25</f>
        <v>0</v>
      </c>
    </row>
    <row r="25" spans="1:33" x14ac:dyDescent="0.2">
      <c r="A25" s="11" t="s">
        <v>60</v>
      </c>
      <c r="C25" s="7">
        <f>C10/AD10</f>
        <v>2.012812781969457</v>
      </c>
      <c r="D25" s="16" t="s">
        <v>22</v>
      </c>
      <c r="H25" s="73">
        <f>H10/AD10</f>
        <v>2.3252144204525727</v>
      </c>
      <c r="I25" s="74" t="s">
        <v>22</v>
      </c>
      <c r="L25" s="7">
        <f>-L14/AD10</f>
        <v>0</v>
      </c>
      <c r="M25" s="16" t="s">
        <v>22</v>
      </c>
      <c r="P25" s="7">
        <f>P8/AD10</f>
        <v>1.9505171097037215</v>
      </c>
      <c r="Q25" s="16" t="s">
        <v>22</v>
      </c>
      <c r="S25" s="7">
        <f>S8/AD10</f>
        <v>2.8531135888683132</v>
      </c>
      <c r="T25" s="16" t="s">
        <v>22</v>
      </c>
      <c r="V25" s="7">
        <f>V8/AD10</f>
        <v>1.4182920704332544</v>
      </c>
      <c r="W25" s="16" t="s">
        <v>22</v>
      </c>
      <c r="AA25" s="7">
        <f>-AA19/AD10</f>
        <v>0</v>
      </c>
      <c r="AB25" s="16" t="s">
        <v>22</v>
      </c>
      <c r="AC25" s="11" t="s">
        <v>94</v>
      </c>
      <c r="AD25" s="69">
        <f>AD23+AD24</f>
        <v>10.559949971427319</v>
      </c>
      <c r="AE25" s="69"/>
      <c r="AF25" s="82">
        <v>6.4139999999999997</v>
      </c>
      <c r="AG25">
        <f>AF25/parite</f>
        <v>5.1311999999999998</v>
      </c>
    </row>
    <row r="26" spans="1:33" x14ac:dyDescent="0.2">
      <c r="B26" s="2"/>
      <c r="C26" s="2"/>
      <c r="D26" s="10"/>
      <c r="I26" s="10"/>
      <c r="M26" s="10"/>
      <c r="Q26" s="10"/>
      <c r="T26" s="10"/>
      <c r="W26" s="10"/>
      <c r="AB26" s="10"/>
      <c r="AF26" s="82"/>
      <c r="AG26" s="82"/>
    </row>
    <row r="27" spans="1:33" x14ac:dyDescent="0.2">
      <c r="B27" s="2"/>
      <c r="C27" s="2"/>
      <c r="D27" s="10"/>
      <c r="I27" s="10"/>
      <c r="M27" s="10"/>
      <c r="Q27" s="10"/>
      <c r="T27" s="10"/>
      <c r="W27" s="10"/>
      <c r="AB27" s="10"/>
    </row>
    <row r="28" spans="1:33" x14ac:dyDescent="0.2">
      <c r="B28" s="2"/>
      <c r="C28" s="2"/>
      <c r="D28" s="10"/>
      <c r="E28" s="83" t="s">
        <v>6</v>
      </c>
      <c r="F28" s="83"/>
      <c r="G28" s="83"/>
      <c r="H28" s="83"/>
      <c r="I28" s="4">
        <f>PCopeaux</f>
        <v>1.7004146449723441</v>
      </c>
      <c r="AC28" s="11"/>
      <c r="AE28" s="82"/>
      <c r="AF28" s="82"/>
      <c r="AG28" s="82"/>
    </row>
    <row r="29" spans="1:33" x14ac:dyDescent="0.2">
      <c r="D29" s="10"/>
      <c r="E29" s="83" t="s">
        <v>7</v>
      </c>
      <c r="F29" s="83"/>
      <c r="G29" s="83"/>
      <c r="H29" s="83"/>
      <c r="I29" s="4">
        <f>Pmassifs</f>
        <v>1.1255088099999999</v>
      </c>
      <c r="AC29" s="11"/>
      <c r="AE29" s="82"/>
    </row>
    <row r="30" spans="1:33" x14ac:dyDescent="0.2">
      <c r="D30" s="10"/>
      <c r="E30" s="83" t="s">
        <v>8</v>
      </c>
      <c r="F30" s="83"/>
      <c r="G30" s="83"/>
      <c r="H30" s="83"/>
      <c r="I30" s="5">
        <f>Tacopeaux</f>
        <v>0.11255088099999999</v>
      </c>
      <c r="O30" s="3"/>
    </row>
    <row r="31" spans="1:33" x14ac:dyDescent="0.2">
      <c r="D31" s="10"/>
      <c r="E31" s="83" t="s">
        <v>9</v>
      </c>
      <c r="F31" s="83"/>
      <c r="G31" s="83"/>
      <c r="H31" s="83"/>
      <c r="I31" s="5">
        <f>Tamassifs</f>
        <v>8.4413160749999994E-2</v>
      </c>
      <c r="N31" s="2"/>
      <c r="O31" s="2"/>
    </row>
    <row r="32" spans="1:33" x14ac:dyDescent="0.2">
      <c r="D32" s="10"/>
      <c r="E32" s="83" t="s">
        <v>10</v>
      </c>
      <c r="F32" s="83"/>
      <c r="G32" s="83"/>
      <c r="H32" s="83"/>
      <c r="I32" s="5">
        <f>Trcopeaux</f>
        <v>0.18758480166666663</v>
      </c>
    </row>
    <row r="33" spans="1:22" x14ac:dyDescent="0.2">
      <c r="D33" s="10"/>
      <c r="E33" s="83" t="s">
        <v>11</v>
      </c>
      <c r="F33" s="83"/>
      <c r="G33" s="83"/>
      <c r="H33" s="83"/>
      <c r="I33" s="5">
        <f>Trmassifs</f>
        <v>5.6275440499999996E-2</v>
      </c>
    </row>
    <row r="34" spans="1:22" x14ac:dyDescent="0.2">
      <c r="D34" s="10"/>
    </row>
    <row r="35" spans="1:22" x14ac:dyDescent="0.2">
      <c r="D35" s="10"/>
    </row>
    <row r="36" spans="1:22" x14ac:dyDescent="0.2">
      <c r="D36" s="10"/>
      <c r="N36" s="3"/>
    </row>
    <row r="37" spans="1:22" x14ac:dyDescent="0.2">
      <c r="N37" s="3"/>
    </row>
    <row r="38" spans="1:22" x14ac:dyDescent="0.2">
      <c r="N38" s="3"/>
      <c r="R38" s="17"/>
      <c r="U38" s="3"/>
    </row>
    <row r="39" spans="1:22" x14ac:dyDescent="0.2">
      <c r="U39" s="3"/>
      <c r="V39" s="6"/>
    </row>
    <row r="42" spans="1:22" x14ac:dyDescent="0.2">
      <c r="A42" t="s">
        <v>0</v>
      </c>
      <c r="B42" s="19">
        <v>5.7</v>
      </c>
      <c r="D42">
        <v>5.65</v>
      </c>
      <c r="G42" s="18"/>
    </row>
    <row r="43" spans="1:22" x14ac:dyDescent="0.2">
      <c r="A43" t="s">
        <v>1</v>
      </c>
      <c r="B43" s="19">
        <v>3.12</v>
      </c>
      <c r="D43">
        <v>3.09</v>
      </c>
      <c r="G43" s="18"/>
    </row>
    <row r="44" spans="1:22" x14ac:dyDescent="0.2">
      <c r="A44" t="s">
        <v>45</v>
      </c>
      <c r="B44" s="19">
        <v>2.7</v>
      </c>
      <c r="G44" s="18"/>
      <c r="H44" t="s">
        <v>22</v>
      </c>
      <c r="J44" t="s">
        <v>38</v>
      </c>
      <c r="L44" t="s">
        <v>22</v>
      </c>
      <c r="N44" t="s">
        <v>38</v>
      </c>
    </row>
    <row r="46" spans="1:22" ht="15" x14ac:dyDescent="0.25">
      <c r="G46" s="21" t="s">
        <v>37</v>
      </c>
      <c r="H46" s="23">
        <f>C25</f>
        <v>2.012812781969457</v>
      </c>
      <c r="I46" s="21"/>
      <c r="J46" s="21"/>
      <c r="L46" s="26">
        <f t="shared" ref="L46:L52" si="0">IF(H46="",J46*parite,H46)</f>
        <v>2.012812781969457</v>
      </c>
      <c r="M46" s="27"/>
      <c r="N46" s="28">
        <f t="shared" ref="N46:N52" si="1">IF(J46="",H46/parite,J46)</f>
        <v>1.6102502255755655</v>
      </c>
    </row>
    <row r="47" spans="1:22" ht="15" x14ac:dyDescent="0.25">
      <c r="G47" s="21" t="str">
        <f>E6</f>
        <v>Processing</v>
      </c>
      <c r="H47" s="24"/>
      <c r="I47" s="21"/>
      <c r="J47" s="25">
        <f>H25/parite</f>
        <v>1.8601715363620581</v>
      </c>
      <c r="L47" s="26">
        <f t="shared" si="0"/>
        <v>2.3252144204525727</v>
      </c>
      <c r="M47" s="27"/>
      <c r="N47" s="28">
        <f t="shared" si="1"/>
        <v>1.8601715363620581</v>
      </c>
    </row>
    <row r="48" spans="1:22" ht="15" x14ac:dyDescent="0.25">
      <c r="G48" s="21" t="str">
        <f>J6</f>
        <v>Vente perte du processing</v>
      </c>
      <c r="H48" s="23">
        <f>L25</f>
        <v>0</v>
      </c>
      <c r="I48" s="21"/>
      <c r="J48" s="24"/>
      <c r="L48" s="26">
        <f t="shared" si="0"/>
        <v>0</v>
      </c>
      <c r="M48" s="27"/>
      <c r="N48" s="28">
        <f t="shared" si="1"/>
        <v>0</v>
      </c>
    </row>
    <row r="49" spans="7:15" ht="15" x14ac:dyDescent="0.25">
      <c r="G49" s="21" t="str">
        <f>N6</f>
        <v>Matières Premières</v>
      </c>
      <c r="H49" s="23">
        <f>P25</f>
        <v>1.9505171097037215</v>
      </c>
      <c r="I49" s="21"/>
      <c r="J49" s="24"/>
      <c r="L49" s="26">
        <f t="shared" si="0"/>
        <v>1.9505171097037215</v>
      </c>
      <c r="M49" s="27"/>
      <c r="N49" s="28">
        <f t="shared" si="1"/>
        <v>1.5604136877629773</v>
      </c>
    </row>
    <row r="50" spans="7:15" ht="15" x14ac:dyDescent="0.25">
      <c r="G50" s="21" t="str">
        <f>R6</f>
        <v>CD</v>
      </c>
      <c r="H50" s="24"/>
      <c r="I50" s="21"/>
      <c r="J50" s="25">
        <v>2.3804129663790405</v>
      </c>
      <c r="L50" s="26">
        <f t="shared" si="0"/>
        <v>2.9755162079738007</v>
      </c>
      <c r="M50" s="27"/>
      <c r="N50" s="28">
        <f t="shared" si="1"/>
        <v>2.3804129663790405</v>
      </c>
    </row>
    <row r="51" spans="7:15" ht="15" x14ac:dyDescent="0.25">
      <c r="G51" s="21" t="str">
        <f>U6</f>
        <v>FGx</v>
      </c>
      <c r="H51" s="24"/>
      <c r="I51" s="21"/>
      <c r="J51" s="25">
        <v>1.0863773191117923</v>
      </c>
      <c r="L51" s="26">
        <f t="shared" si="0"/>
        <v>1.3579716488897402</v>
      </c>
      <c r="M51" s="27"/>
      <c r="N51" s="28">
        <f t="shared" si="1"/>
        <v>1.0863773191117923</v>
      </c>
    </row>
    <row r="52" spans="7:15" ht="15" x14ac:dyDescent="0.25">
      <c r="G52" s="21" t="str">
        <f>X6</f>
        <v>Vente chutes</v>
      </c>
      <c r="H52" s="23">
        <f>AA25</f>
        <v>0</v>
      </c>
      <c r="I52" s="21"/>
      <c r="J52" s="21"/>
      <c r="L52" s="26">
        <f t="shared" si="0"/>
        <v>0</v>
      </c>
      <c r="M52" s="27"/>
      <c r="N52" s="28">
        <f t="shared" si="1"/>
        <v>0</v>
      </c>
    </row>
    <row r="53" spans="7:15" ht="13.5" thickBot="1" x14ac:dyDescent="0.25">
      <c r="H53" s="19"/>
      <c r="O53" t="s">
        <v>44</v>
      </c>
    </row>
    <row r="54" spans="7:15" ht="16.5" thickTop="1" thickBot="1" x14ac:dyDescent="0.3">
      <c r="G54" s="20" t="s">
        <v>39</v>
      </c>
      <c r="H54" s="20"/>
      <c r="I54" s="20"/>
      <c r="J54" s="30">
        <v>3.23</v>
      </c>
      <c r="K54" s="20"/>
      <c r="L54" s="31">
        <f>IF(H54="",J54*parite,H54)</f>
        <v>4.0374999999999996</v>
      </c>
      <c r="M54" s="32"/>
      <c r="N54" s="30">
        <f>IF(J54="",H54/parite,J54)</f>
        <v>3.23</v>
      </c>
      <c r="O54" s="29"/>
    </row>
    <row r="55" spans="7:15" ht="15.75" thickTop="1" x14ac:dyDescent="0.25">
      <c r="G55" s="22" t="s">
        <v>40</v>
      </c>
      <c r="H55" s="22"/>
      <c r="I55" s="22"/>
      <c r="J55" s="28"/>
      <c r="K55" s="22"/>
      <c r="L55" s="26">
        <f>SUM(L46:L50)+L52</f>
        <v>9.2640605200995516</v>
      </c>
      <c r="M55" s="22"/>
      <c r="N55" s="28">
        <f>SUM(N46:N50)+N52</f>
        <v>7.4112484160796415</v>
      </c>
      <c r="O55" s="22"/>
    </row>
    <row r="56" spans="7:15" ht="15" x14ac:dyDescent="0.25">
      <c r="G56" s="33" t="s">
        <v>41</v>
      </c>
      <c r="H56" s="33"/>
      <c r="I56" s="33"/>
      <c r="J56" s="33"/>
      <c r="K56" s="33"/>
      <c r="L56" s="34">
        <f>SUM(L46:L52)</f>
        <v>10.622032168989293</v>
      </c>
      <c r="M56" s="33"/>
      <c r="N56" s="35">
        <f>SUM(N46:N52)</f>
        <v>8.4976257351914342</v>
      </c>
      <c r="O56" s="33"/>
    </row>
    <row r="57" spans="7:15" ht="15.75" thickBot="1" x14ac:dyDescent="0.3">
      <c r="G57" s="36" t="s">
        <v>42</v>
      </c>
      <c r="H57" s="37"/>
      <c r="I57" s="37"/>
      <c r="J57" s="37"/>
      <c r="K57" s="37"/>
      <c r="L57" s="38">
        <f>L56+L54</f>
        <v>14.659532168989292</v>
      </c>
      <c r="M57" s="37"/>
      <c r="N57" s="39">
        <f>N56+N54</f>
        <v>11.727625735191435</v>
      </c>
      <c r="O57" s="40">
        <f>(N57-N55)/N57</f>
        <v>0.36805210334769733</v>
      </c>
    </row>
    <row r="58" spans="7:15" ht="15.75" thickTop="1" x14ac:dyDescent="0.25">
      <c r="G58" s="41" t="s">
        <v>43</v>
      </c>
      <c r="H58" s="42"/>
      <c r="I58" s="42"/>
      <c r="J58" s="42"/>
      <c r="K58" s="42">
        <v>1.2849999999999999</v>
      </c>
      <c r="L58" s="43">
        <f>L56*K58</f>
        <v>13.649311337151241</v>
      </c>
      <c r="M58" s="42"/>
      <c r="N58" s="44">
        <f>N56*K58</f>
        <v>10.919449069720992</v>
      </c>
      <c r="O58" s="45">
        <f>(N58-N55)/N58</f>
        <v>0.32128000517621264</v>
      </c>
    </row>
  </sheetData>
  <mergeCells count="6">
    <mergeCell ref="E33:H33"/>
    <mergeCell ref="E28:H28"/>
    <mergeCell ref="E29:H29"/>
    <mergeCell ref="E30:H30"/>
    <mergeCell ref="E31:H31"/>
    <mergeCell ref="E32:H32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58"/>
  <sheetViews>
    <sheetView topLeftCell="P1" workbookViewId="0">
      <selection activeCell="Z29" sqref="Z29"/>
    </sheetView>
  </sheetViews>
  <sheetFormatPr baseColWidth="10" defaultRowHeight="12.75" x14ac:dyDescent="0.2"/>
  <cols>
    <col min="1" max="1" width="16" customWidth="1"/>
    <col min="2" max="2" width="8.7109375" bestFit="1" customWidth="1"/>
    <col min="3" max="3" width="8.5703125" bestFit="1" customWidth="1"/>
    <col min="4" max="4" width="5.42578125" customWidth="1"/>
    <col min="5" max="5" width="8.5703125" customWidth="1"/>
    <col min="6" max="6" width="10.28515625" customWidth="1"/>
    <col min="7" max="7" width="11.7109375" customWidth="1"/>
    <col min="8" max="8" width="10.5703125" customWidth="1"/>
    <col min="9" max="9" width="7.42578125" customWidth="1"/>
    <col min="10" max="10" width="8.85546875" customWidth="1"/>
    <col min="11" max="11" width="8.5703125" customWidth="1"/>
    <col min="12" max="12" width="9.7109375" customWidth="1"/>
    <col min="13" max="13" width="4.28515625" customWidth="1"/>
    <col min="14" max="14" width="16.85546875" customWidth="1"/>
    <col min="15" max="15" width="7.5703125" bestFit="1" customWidth="1"/>
    <col min="16" max="16" width="8.5703125" customWidth="1"/>
    <col min="17" max="17" width="4.140625" customWidth="1"/>
    <col min="18" max="18" width="8.28515625" customWidth="1"/>
    <col min="19" max="19" width="8.5703125" bestFit="1" customWidth="1"/>
    <col min="20" max="20" width="4.7109375" customWidth="1"/>
    <col min="21" max="21" width="8.5703125" customWidth="1"/>
    <col min="22" max="22" width="7.5703125" bestFit="1" customWidth="1"/>
    <col min="23" max="23" width="4.140625" customWidth="1"/>
    <col min="24" max="24" width="13.140625" customWidth="1"/>
    <col min="25" max="26" width="7.7109375" customWidth="1"/>
    <col min="27" max="27" width="7.5703125" bestFit="1" customWidth="1"/>
    <col min="28" max="28" width="4.42578125" customWidth="1"/>
    <col min="29" max="29" width="26" customWidth="1"/>
    <col min="30" max="30" width="9.5703125" bestFit="1" customWidth="1"/>
  </cols>
  <sheetData>
    <row r="1" spans="1:31" ht="26.25" x14ac:dyDescent="0.4">
      <c r="A1" s="8" t="s">
        <v>20</v>
      </c>
    </row>
    <row r="2" spans="1:31" x14ac:dyDescent="0.2">
      <c r="S2">
        <f>S8/1.4</f>
        <v>8067.3400362142984</v>
      </c>
    </row>
    <row r="3" spans="1:31" x14ac:dyDescent="0.2">
      <c r="P3" s="2"/>
    </row>
    <row r="6" spans="1:31" x14ac:dyDescent="0.2">
      <c r="A6" s="9" t="s">
        <v>50</v>
      </c>
      <c r="D6" s="10"/>
      <c r="E6" s="9" t="s">
        <v>5</v>
      </c>
      <c r="F6" s="9"/>
      <c r="I6" s="10"/>
      <c r="J6" s="9" t="s">
        <v>12</v>
      </c>
      <c r="M6" s="10"/>
      <c r="N6" s="9" t="s">
        <v>23</v>
      </c>
      <c r="Q6" s="10"/>
      <c r="R6" s="9" t="s">
        <v>14</v>
      </c>
      <c r="T6" s="10"/>
      <c r="U6" s="9" t="s">
        <v>16</v>
      </c>
      <c r="W6" s="10"/>
      <c r="X6" s="9" t="s">
        <v>17</v>
      </c>
      <c r="Y6" s="9"/>
      <c r="Z6" s="9"/>
      <c r="AB6" s="10"/>
      <c r="AC6" s="9" t="s">
        <v>18</v>
      </c>
    </row>
    <row r="7" spans="1:31" x14ac:dyDescent="0.2">
      <c r="B7" s="1" t="s">
        <v>2</v>
      </c>
      <c r="C7" s="1" t="s">
        <v>3</v>
      </c>
      <c r="D7" s="10"/>
      <c r="F7" s="1" t="s">
        <v>47</v>
      </c>
      <c r="G7" s="1" t="s">
        <v>2</v>
      </c>
      <c r="H7" s="1" t="s">
        <v>3</v>
      </c>
      <c r="I7" s="10"/>
      <c r="K7" s="1" t="s">
        <v>2</v>
      </c>
      <c r="L7" s="1" t="s">
        <v>3</v>
      </c>
      <c r="M7" s="10"/>
      <c r="O7" s="1" t="s">
        <v>2</v>
      </c>
      <c r="P7" s="1" t="s">
        <v>3</v>
      </c>
      <c r="Q7" s="10"/>
      <c r="S7" s="1" t="s">
        <v>3</v>
      </c>
      <c r="T7" s="10"/>
      <c r="V7" s="1" t="s">
        <v>3</v>
      </c>
      <c r="W7" s="10"/>
      <c r="Y7" t="s">
        <v>102</v>
      </c>
      <c r="Z7" s="11" t="s">
        <v>101</v>
      </c>
      <c r="AA7" s="1" t="s">
        <v>3</v>
      </c>
      <c r="AB7" s="10"/>
      <c r="AD7" s="1" t="s">
        <v>3</v>
      </c>
    </row>
    <row r="8" spans="1:31" x14ac:dyDescent="0.2">
      <c r="A8" t="s">
        <v>48</v>
      </c>
      <c r="B8" s="46">
        <f>Matières!B35</f>
        <v>1058</v>
      </c>
      <c r="C8" s="46">
        <f>Matières!D35</f>
        <v>1058</v>
      </c>
      <c r="D8" s="10"/>
      <c r="E8" s="11" t="s">
        <v>59</v>
      </c>
      <c r="F8" s="3">
        <f>Rdtmassifs</f>
        <v>0.9</v>
      </c>
      <c r="G8" s="2">
        <f>F8*B8</f>
        <v>952.2</v>
      </c>
      <c r="H8" s="2">
        <f>((G8/F8)*(I29+I31)+(G8*I33))*parite</f>
        <v>1667.1036493720001</v>
      </c>
      <c r="I8" s="10"/>
      <c r="J8" t="s">
        <v>0</v>
      </c>
      <c r="K8" s="2">
        <f>tmassifs-G8</f>
        <v>105.79999999999995</v>
      </c>
      <c r="L8" s="1"/>
      <c r="M8" s="10"/>
      <c r="N8" s="11" t="s">
        <v>72</v>
      </c>
      <c r="O8" s="2">
        <f>O12*0.9/O14</f>
        <v>772.12764204545465</v>
      </c>
      <c r="P8">
        <f>O8*pxeponge</f>
        <v>7721.2764204545465</v>
      </c>
      <c r="Q8" s="10"/>
      <c r="R8" t="s">
        <v>15</v>
      </c>
      <c r="S8" s="2">
        <f>cdfusion*AD10*parite</f>
        <v>11294.276050700017</v>
      </c>
      <c r="T8" s="10"/>
      <c r="U8" t="s">
        <v>15</v>
      </c>
      <c r="V8" s="2">
        <f>fgxfusion*AD10*parite</f>
        <v>5614.4214609926585</v>
      </c>
      <c r="W8" s="10"/>
      <c r="X8" s="11" t="s">
        <v>97</v>
      </c>
      <c r="Z8" s="3">
        <f>G10+O12</f>
        <v>4246.7020312500008</v>
      </c>
      <c r="AB8" s="10"/>
      <c r="AC8" t="s">
        <v>15</v>
      </c>
      <c r="AD8" s="2">
        <f>AD10*25</f>
        <v>98964.479496765198</v>
      </c>
    </row>
    <row r="9" spans="1:31" x14ac:dyDescent="0.2">
      <c r="A9" t="s">
        <v>49</v>
      </c>
      <c r="B9" s="46">
        <f>Matières!B36</f>
        <v>3260.2155000000002</v>
      </c>
      <c r="C9" s="46">
        <f>Matières!D36</f>
        <v>1956.1292999999996</v>
      </c>
      <c r="D9" s="10"/>
      <c r="E9" t="s">
        <v>1</v>
      </c>
      <c r="F9">
        <f>Rdtcopeaux</f>
        <v>0.75</v>
      </c>
      <c r="G9" s="2">
        <f>F9*B9</f>
        <v>2445.1616250000002</v>
      </c>
      <c r="H9" s="2">
        <f>((G9/F9)*(I28+I30)+G9*I32)*parite</f>
        <v>7961.6668340115721</v>
      </c>
      <c r="I9" s="10"/>
      <c r="J9" t="s">
        <v>1</v>
      </c>
      <c r="K9" s="2">
        <f>tcopeaux-G9</f>
        <v>815.05387500000006</v>
      </c>
      <c r="L9" s="1"/>
      <c r="M9" s="10"/>
      <c r="O9" s="1"/>
      <c r="P9" s="1"/>
      <c r="Q9" s="10"/>
      <c r="T9" s="10"/>
      <c r="W9" s="10"/>
      <c r="X9" s="11" t="s">
        <v>98</v>
      </c>
      <c r="Y9">
        <f>Z8*0.005</f>
        <v>21.233510156250006</v>
      </c>
      <c r="Z9" s="3">
        <f>Z8-Y9</f>
        <v>4225.4685210937505</v>
      </c>
      <c r="AB9" s="10"/>
    </row>
    <row r="10" spans="1:31" x14ac:dyDescent="0.2">
      <c r="A10" t="s">
        <v>50</v>
      </c>
      <c r="B10" s="46">
        <f>Matières!B37</f>
        <v>4318.2155000000002</v>
      </c>
      <c r="C10" s="46">
        <f>Matières!D37</f>
        <v>3014.1292999999996</v>
      </c>
      <c r="D10" s="10"/>
      <c r="E10" t="s">
        <v>13</v>
      </c>
      <c r="G10" s="2">
        <f>SUM(G8:G9)</f>
        <v>3397.3616250000005</v>
      </c>
      <c r="H10" s="2">
        <f>SUM(H8:H9)</f>
        <v>9628.7704833835724</v>
      </c>
      <c r="I10" s="10"/>
      <c r="J10" t="s">
        <v>13</v>
      </c>
      <c r="K10" s="2">
        <f>SUM(K8:K9)</f>
        <v>920.85387500000002</v>
      </c>
      <c r="L10">
        <f>K10*krecup*pxmarferroti</f>
        <v>0</v>
      </c>
      <c r="M10" s="10"/>
      <c r="N10" s="11" t="s">
        <v>73</v>
      </c>
      <c r="O10">
        <f>O12*0.1</f>
        <v>84.934040625000023</v>
      </c>
      <c r="P10">
        <f>O10*pxmasteral</f>
        <v>2045.2116982500004</v>
      </c>
      <c r="Q10" s="10"/>
      <c r="T10" s="10"/>
      <c r="W10" s="10"/>
      <c r="X10" s="11" t="s">
        <v>103</v>
      </c>
      <c r="Y10">
        <f>Z9*ruplasma</f>
        <v>88.908462330356315</v>
      </c>
      <c r="Z10" s="3">
        <f>Z9-Y10</f>
        <v>4136.5600587633944</v>
      </c>
      <c r="AB10" s="10"/>
      <c r="AC10" t="s">
        <v>21</v>
      </c>
      <c r="AD10" s="3">
        <f>0.932153739711617*(G10+O12)</f>
        <v>3958.5791798706082</v>
      </c>
    </row>
    <row r="11" spans="1:31" x14ac:dyDescent="0.2">
      <c r="D11" s="10"/>
      <c r="I11" s="10"/>
      <c r="K11" s="3"/>
      <c r="M11" s="10"/>
      <c r="Q11" s="10"/>
      <c r="T11" s="10"/>
      <c r="W11" s="10"/>
      <c r="X11" s="11" t="s">
        <v>104</v>
      </c>
      <c r="Y11">
        <f>ruvar*Z10</f>
        <v>43.571034519512367</v>
      </c>
      <c r="Z11" s="3">
        <f>Z10-Y11</f>
        <v>4092.9890242438819</v>
      </c>
      <c r="AB11" s="10"/>
    </row>
    <row r="12" spans="1:31" x14ac:dyDescent="0.2">
      <c r="A12" s="9"/>
      <c r="D12" s="10"/>
      <c r="I12" s="10"/>
      <c r="J12" s="11" t="s">
        <v>70</v>
      </c>
      <c r="L12" s="64">
        <f>krecup</f>
        <v>0.8</v>
      </c>
      <c r="M12" s="10"/>
      <c r="N12" s="11" t="s">
        <v>76</v>
      </c>
      <c r="O12" s="3">
        <f>G10*0.25</f>
        <v>849.34040625000011</v>
      </c>
      <c r="P12">
        <f>P10+P8</f>
        <v>9766.4881187045467</v>
      </c>
      <c r="Q12" s="10"/>
      <c r="T12" s="10"/>
      <c r="W12" s="10"/>
      <c r="X12" s="11" t="s">
        <v>46</v>
      </c>
      <c r="Y12">
        <f>Z11*pertegalette</f>
        <v>80.763426598105127</v>
      </c>
      <c r="Z12" s="3">
        <f>Z11-Y12</f>
        <v>4012.2255976457768</v>
      </c>
      <c r="AB12" s="10"/>
      <c r="AC12" s="11" t="s">
        <v>91</v>
      </c>
      <c r="AD12" s="7">
        <f>AD23+AE23</f>
        <v>14.915720141474878</v>
      </c>
      <c r="AE12" t="s">
        <v>22</v>
      </c>
    </row>
    <row r="13" spans="1:31" x14ac:dyDescent="0.2">
      <c r="B13" s="1"/>
      <c r="C13" s="1"/>
      <c r="D13" s="10"/>
      <c r="I13" s="10"/>
      <c r="M13" s="10"/>
      <c r="Q13" s="10"/>
      <c r="T13" s="10"/>
      <c r="W13" s="10"/>
      <c r="X13" s="11" t="s">
        <v>106</v>
      </c>
      <c r="Y13">
        <f>Z12*perteecroutage</f>
        <v>53.649912107134313</v>
      </c>
      <c r="Z13" s="3">
        <f>Z12-Y13</f>
        <v>3958.5756855386426</v>
      </c>
      <c r="AB13" s="10"/>
    </row>
    <row r="14" spans="1:31" x14ac:dyDescent="0.2">
      <c r="B14" s="2"/>
      <c r="C14" s="2"/>
      <c r="D14" s="10"/>
      <c r="G14" s="47"/>
      <c r="I14" s="10"/>
      <c r="J14" s="11" t="s">
        <v>19</v>
      </c>
      <c r="K14">
        <f>K10*L12</f>
        <v>736.68310000000008</v>
      </c>
      <c r="L14">
        <f>K14*pxmarferroti</f>
        <v>0</v>
      </c>
      <c r="M14" s="10"/>
      <c r="N14" s="11" t="s">
        <v>80</v>
      </c>
      <c r="O14" s="64">
        <f>partepongex</f>
        <v>0.99</v>
      </c>
      <c r="Q14" s="10"/>
      <c r="T14" s="10"/>
      <c r="W14" s="10"/>
      <c r="X14" s="11"/>
      <c r="AB14" s="10"/>
      <c r="AD14" s="69">
        <f>C25+H25+L25+P25+S25+V25+AA25</f>
        <v>9.4157201414748783</v>
      </c>
    </row>
    <row r="15" spans="1:31" x14ac:dyDescent="0.2">
      <c r="B15" s="2"/>
      <c r="C15" s="2"/>
      <c r="D15" s="10"/>
      <c r="G15" s="3"/>
      <c r="I15" s="10"/>
      <c r="M15" s="10"/>
      <c r="O15" s="3"/>
      <c r="Q15" s="10"/>
      <c r="T15" s="10"/>
      <c r="W15" s="10"/>
      <c r="X15" s="11"/>
      <c r="AB15" s="10"/>
    </row>
    <row r="16" spans="1:31" x14ac:dyDescent="0.2">
      <c r="B16" s="2"/>
      <c r="C16" s="2"/>
      <c r="D16" s="10"/>
      <c r="G16" s="3"/>
      <c r="I16" s="10"/>
      <c r="M16" s="10"/>
      <c r="Q16" s="10"/>
      <c r="T16" s="10"/>
      <c r="W16" s="10"/>
      <c r="AB16" s="10"/>
      <c r="AD16">
        <v>0.93215373971161697</v>
      </c>
    </row>
    <row r="17" spans="1:33" x14ac:dyDescent="0.2">
      <c r="D17" s="10"/>
      <c r="I17" s="10"/>
      <c r="M17" s="10"/>
      <c r="N17" s="2"/>
      <c r="Q17" s="10"/>
      <c r="T17" s="10"/>
      <c r="W17" s="10"/>
      <c r="X17" t="s">
        <v>37</v>
      </c>
      <c r="Y17" s="11">
        <f>SUM(Y10:Y13)</f>
        <v>266.89283555510809</v>
      </c>
      <c r="AB17" s="10"/>
    </row>
    <row r="18" spans="1:33" x14ac:dyDescent="0.2">
      <c r="A18" s="9"/>
      <c r="D18" s="10"/>
      <c r="I18" s="10"/>
      <c r="M18" s="10"/>
      <c r="Q18" s="10"/>
      <c r="T18" s="10"/>
      <c r="W18" s="10"/>
      <c r="X18" s="11" t="s">
        <v>70</v>
      </c>
      <c r="Y18" s="64">
        <f>krecup</f>
        <v>0.8</v>
      </c>
      <c r="Z18" s="68"/>
      <c r="AB18" s="10"/>
      <c r="AC18" s="3">
        <f>G10+O12</f>
        <v>4246.7020312500008</v>
      </c>
      <c r="AD18">
        <f>AD10/AC18</f>
        <v>0.93215373971161697</v>
      </c>
    </row>
    <row r="19" spans="1:33" x14ac:dyDescent="0.2">
      <c r="B19" s="1"/>
      <c r="C19" s="1"/>
      <c r="D19" s="10"/>
      <c r="I19" s="10"/>
      <c r="M19" s="10"/>
      <c r="Q19" s="10"/>
      <c r="T19" s="10"/>
      <c r="W19" s="10"/>
      <c r="X19" t="s">
        <v>15</v>
      </c>
      <c r="Y19" s="3">
        <f>Y17*Y18</f>
        <v>213.5142684440865</v>
      </c>
      <c r="Z19" s="3"/>
      <c r="AA19" s="80">
        <f>Y19*pxmarferroti</f>
        <v>0</v>
      </c>
      <c r="AB19" s="10"/>
    </row>
    <row r="20" spans="1:33" x14ac:dyDescent="0.2">
      <c r="B20" s="2"/>
      <c r="C20" s="2"/>
      <c r="D20" s="10"/>
      <c r="I20" s="10"/>
      <c r="M20" s="10"/>
      <c r="Q20" s="10"/>
      <c r="T20" s="10"/>
      <c r="W20" s="10"/>
      <c r="AB20" s="10"/>
      <c r="AC20" s="11" t="s">
        <v>78</v>
      </c>
      <c r="AD20" s="69">
        <f>AD12-AD14</f>
        <v>5.5</v>
      </c>
    </row>
    <row r="21" spans="1:33" x14ac:dyDescent="0.2">
      <c r="B21" s="2"/>
      <c r="C21" s="2"/>
      <c r="D21" s="10"/>
      <c r="I21" s="10"/>
      <c r="M21" s="10"/>
      <c r="Q21" s="10"/>
      <c r="T21" s="10"/>
      <c r="W21" s="10"/>
      <c r="Y21" s="3"/>
      <c r="Z21" s="3"/>
      <c r="AB21" s="10"/>
    </row>
    <row r="22" spans="1:33" x14ac:dyDescent="0.2">
      <c r="B22" s="2"/>
      <c r="C22" s="2"/>
      <c r="D22" s="10"/>
      <c r="I22" s="10"/>
      <c r="M22" s="10"/>
      <c r="Q22" s="10"/>
      <c r="T22" s="10"/>
      <c r="W22" s="10"/>
      <c r="AB22" s="10"/>
      <c r="AF22" s="11" t="s">
        <v>95</v>
      </c>
      <c r="AG22" s="11" t="s">
        <v>96</v>
      </c>
    </row>
    <row r="23" spans="1:33" ht="25.5" x14ac:dyDescent="0.2">
      <c r="B23" s="2"/>
      <c r="C23" s="2"/>
      <c r="D23" s="10"/>
      <c r="I23" s="10"/>
      <c r="M23" s="10"/>
      <c r="Q23" s="10"/>
      <c r="T23" s="10"/>
      <c r="W23" s="10"/>
      <c r="AB23" s="10"/>
      <c r="AC23" s="81" t="s">
        <v>92</v>
      </c>
      <c r="AD23" s="82">
        <f>C25+H25+P25+S25+V25</f>
        <v>9.4157201414748783</v>
      </c>
      <c r="AE23" s="69">
        <v>5.5</v>
      </c>
      <c r="AF23" s="82">
        <f>AE23</f>
        <v>5.5</v>
      </c>
      <c r="AG23">
        <f>AF23/parite</f>
        <v>4.4000000000000004</v>
      </c>
    </row>
    <row r="24" spans="1:33" x14ac:dyDescent="0.2">
      <c r="A24" s="9"/>
      <c r="D24" s="10"/>
      <c r="I24" s="10"/>
      <c r="M24" s="10"/>
      <c r="Q24" s="10"/>
      <c r="T24" s="10"/>
      <c r="W24" s="10"/>
      <c r="AB24" s="10"/>
      <c r="AC24" s="9" t="s">
        <v>93</v>
      </c>
      <c r="AD24" s="82">
        <f>L25+AA25</f>
        <v>0</v>
      </c>
    </row>
    <row r="25" spans="1:33" x14ac:dyDescent="0.2">
      <c r="A25" s="11" t="s">
        <v>60</v>
      </c>
      <c r="C25" s="7">
        <f>C10/AD10</f>
        <v>0.76141695367036233</v>
      </c>
      <c r="D25" s="16" t="s">
        <v>22</v>
      </c>
      <c r="H25" s="73">
        <f>H10/AD10</f>
        <v>2.4323804187992275</v>
      </c>
      <c r="I25" s="74" t="s">
        <v>22</v>
      </c>
      <c r="L25" s="7">
        <f>-L14/AD10</f>
        <v>0</v>
      </c>
      <c r="M25" s="16" t="s">
        <v>22</v>
      </c>
      <c r="P25" s="7">
        <f>P8/AD10</f>
        <v>1.9505171097037213</v>
      </c>
      <c r="Q25" s="16" t="s">
        <v>22</v>
      </c>
      <c r="S25" s="7">
        <f>S8/AD10</f>
        <v>2.8531135888683137</v>
      </c>
      <c r="T25" s="16" t="s">
        <v>22</v>
      </c>
      <c r="V25" s="7">
        <f>V8/AD10</f>
        <v>1.4182920704332542</v>
      </c>
      <c r="W25" s="16" t="s">
        <v>22</v>
      </c>
      <c r="AA25" s="7">
        <f>-AA19/AD10</f>
        <v>0</v>
      </c>
      <c r="AB25" s="16" t="s">
        <v>22</v>
      </c>
      <c r="AC25" s="11" t="s">
        <v>94</v>
      </c>
      <c r="AD25" s="69">
        <f>AD23+AD24</f>
        <v>9.4157201414748783</v>
      </c>
      <c r="AE25" s="69"/>
      <c r="AF25" s="82">
        <v>6.4139999999999997</v>
      </c>
      <c r="AG25">
        <f>AF25/parite</f>
        <v>5.1311999999999998</v>
      </c>
    </row>
    <row r="26" spans="1:33" x14ac:dyDescent="0.2">
      <c r="B26" s="2"/>
      <c r="C26" s="2"/>
      <c r="D26" s="10"/>
      <c r="I26" s="10"/>
      <c r="M26" s="10"/>
      <c r="Q26" s="10"/>
      <c r="T26" s="10"/>
      <c r="W26" s="10"/>
      <c r="AB26" s="10"/>
      <c r="AF26" s="82"/>
      <c r="AG26" s="82"/>
    </row>
    <row r="27" spans="1:33" x14ac:dyDescent="0.2">
      <c r="B27" s="2"/>
      <c r="C27" s="2"/>
      <c r="D27" s="10"/>
      <c r="I27" s="10"/>
      <c r="M27" s="10"/>
      <c r="Q27" s="10"/>
      <c r="T27" s="10"/>
      <c r="W27" s="10"/>
      <c r="AB27" s="10"/>
    </row>
    <row r="28" spans="1:33" x14ac:dyDescent="0.2">
      <c r="B28" s="2"/>
      <c r="C28" s="2"/>
      <c r="D28" s="10"/>
      <c r="E28" s="83" t="s">
        <v>6</v>
      </c>
      <c r="F28" s="83"/>
      <c r="G28" s="83"/>
      <c r="H28" s="83"/>
      <c r="I28" s="4">
        <f>PCopeaux</f>
        <v>1.7004146449723441</v>
      </c>
      <c r="AC28" s="11"/>
      <c r="AE28" s="82"/>
      <c r="AF28" s="82"/>
      <c r="AG28" s="82"/>
    </row>
    <row r="29" spans="1:33" x14ac:dyDescent="0.2">
      <c r="D29" s="10"/>
      <c r="E29" s="83" t="s">
        <v>7</v>
      </c>
      <c r="F29" s="83"/>
      <c r="G29" s="83"/>
      <c r="H29" s="83"/>
      <c r="I29" s="4">
        <f>Pmassifs</f>
        <v>1.1255088099999999</v>
      </c>
      <c r="AC29" s="11"/>
      <c r="AE29" s="82"/>
    </row>
    <row r="30" spans="1:33" x14ac:dyDescent="0.2">
      <c r="D30" s="10"/>
      <c r="E30" s="83" t="s">
        <v>8</v>
      </c>
      <c r="F30" s="83"/>
      <c r="G30" s="83"/>
      <c r="H30" s="83"/>
      <c r="I30" s="5">
        <f>Tacopeaux</f>
        <v>0.11255088099999999</v>
      </c>
      <c r="O30" s="3"/>
    </row>
    <row r="31" spans="1:33" x14ac:dyDescent="0.2">
      <c r="D31" s="10"/>
      <c r="E31" s="83" t="s">
        <v>9</v>
      </c>
      <c r="F31" s="83"/>
      <c r="G31" s="83"/>
      <c r="H31" s="83"/>
      <c r="I31" s="5">
        <f>Tamassifs</f>
        <v>8.4413160749999994E-2</v>
      </c>
      <c r="N31" s="2"/>
      <c r="O31" s="2"/>
    </row>
    <row r="32" spans="1:33" x14ac:dyDescent="0.2">
      <c r="D32" s="10"/>
      <c r="E32" s="83" t="s">
        <v>10</v>
      </c>
      <c r="F32" s="83"/>
      <c r="G32" s="83"/>
      <c r="H32" s="83"/>
      <c r="I32" s="5">
        <f>Trcopeaux</f>
        <v>0.18758480166666663</v>
      </c>
    </row>
    <row r="33" spans="1:22" x14ac:dyDescent="0.2">
      <c r="D33" s="10"/>
      <c r="E33" s="83" t="s">
        <v>11</v>
      </c>
      <c r="F33" s="83"/>
      <c r="G33" s="83"/>
      <c r="H33" s="83"/>
      <c r="I33" s="5">
        <f>Trmassifs</f>
        <v>5.6275440499999996E-2</v>
      </c>
    </row>
    <row r="34" spans="1:22" x14ac:dyDescent="0.2">
      <c r="D34" s="10"/>
    </row>
    <row r="35" spans="1:22" x14ac:dyDescent="0.2">
      <c r="D35" s="10"/>
    </row>
    <row r="36" spans="1:22" x14ac:dyDescent="0.2">
      <c r="D36" s="10"/>
      <c r="N36" s="3"/>
    </row>
    <row r="37" spans="1:22" x14ac:dyDescent="0.2">
      <c r="N37" s="3"/>
    </row>
    <row r="38" spans="1:22" x14ac:dyDescent="0.2">
      <c r="N38" s="3"/>
      <c r="R38" s="17"/>
      <c r="U38" s="3"/>
    </row>
    <row r="39" spans="1:22" x14ac:dyDescent="0.2">
      <c r="U39" s="3"/>
      <c r="V39" s="6"/>
    </row>
    <row r="42" spans="1:22" x14ac:dyDescent="0.2">
      <c r="A42" t="s">
        <v>0</v>
      </c>
      <c r="B42" s="19">
        <v>5.7</v>
      </c>
      <c r="D42">
        <v>5.65</v>
      </c>
      <c r="G42" s="18"/>
    </row>
    <row r="43" spans="1:22" x14ac:dyDescent="0.2">
      <c r="A43" t="s">
        <v>1</v>
      </c>
      <c r="B43" s="19">
        <v>3.12</v>
      </c>
      <c r="D43">
        <v>3.09</v>
      </c>
      <c r="G43" s="18"/>
    </row>
    <row r="44" spans="1:22" x14ac:dyDescent="0.2">
      <c r="A44" t="s">
        <v>45</v>
      </c>
      <c r="B44" s="19">
        <v>2.7</v>
      </c>
      <c r="G44" s="18"/>
      <c r="H44" t="s">
        <v>22</v>
      </c>
      <c r="J44" t="s">
        <v>38</v>
      </c>
      <c r="L44" t="s">
        <v>22</v>
      </c>
      <c r="N44" t="s">
        <v>38</v>
      </c>
    </row>
    <row r="46" spans="1:22" ht="15" x14ac:dyDescent="0.25">
      <c r="G46" s="21" t="s">
        <v>37</v>
      </c>
      <c r="H46" s="23">
        <f>C25</f>
        <v>0.76141695367036233</v>
      </c>
      <c r="I46" s="21"/>
      <c r="J46" s="21"/>
      <c r="L46" s="26">
        <f t="shared" ref="L46:L52" si="0">IF(H46="",J46*parite,H46)</f>
        <v>0.76141695367036233</v>
      </c>
      <c r="M46" s="27"/>
      <c r="N46" s="28">
        <f t="shared" ref="N46:N52" si="1">IF(J46="",H46/parite,J46)</f>
        <v>0.60913356293628984</v>
      </c>
    </row>
    <row r="47" spans="1:22" ht="15" x14ac:dyDescent="0.25">
      <c r="G47" s="21" t="str">
        <f>E6</f>
        <v>Processing</v>
      </c>
      <c r="H47" s="24"/>
      <c r="I47" s="21"/>
      <c r="J47" s="25">
        <f>H25/parite</f>
        <v>1.9459043350393821</v>
      </c>
      <c r="L47" s="26">
        <f t="shared" si="0"/>
        <v>2.4323804187992275</v>
      </c>
      <c r="M47" s="27"/>
      <c r="N47" s="28">
        <f t="shared" si="1"/>
        <v>1.9459043350393821</v>
      </c>
    </row>
    <row r="48" spans="1:22" ht="15" x14ac:dyDescent="0.25">
      <c r="G48" s="21" t="str">
        <f>J6</f>
        <v>Vente perte du processing</v>
      </c>
      <c r="H48" s="23">
        <f>L25</f>
        <v>0</v>
      </c>
      <c r="I48" s="21"/>
      <c r="J48" s="24"/>
      <c r="L48" s="26">
        <f t="shared" si="0"/>
        <v>0</v>
      </c>
      <c r="M48" s="27"/>
      <c r="N48" s="28">
        <f t="shared" si="1"/>
        <v>0</v>
      </c>
    </row>
    <row r="49" spans="7:15" ht="15" x14ac:dyDescent="0.25">
      <c r="G49" s="21" t="str">
        <f>N6</f>
        <v>Matières Premières</v>
      </c>
      <c r="H49" s="23">
        <f>P25</f>
        <v>1.9505171097037213</v>
      </c>
      <c r="I49" s="21"/>
      <c r="J49" s="24"/>
      <c r="L49" s="26">
        <f t="shared" si="0"/>
        <v>1.9505171097037213</v>
      </c>
      <c r="M49" s="27"/>
      <c r="N49" s="28">
        <f t="shared" si="1"/>
        <v>1.5604136877629771</v>
      </c>
    </row>
    <row r="50" spans="7:15" ht="15" x14ac:dyDescent="0.25">
      <c r="G50" s="21" t="str">
        <f>R6</f>
        <v>CD</v>
      </c>
      <c r="H50" s="24"/>
      <c r="I50" s="21"/>
      <c r="J50" s="25">
        <v>2.3804129663790405</v>
      </c>
      <c r="L50" s="26">
        <f t="shared" si="0"/>
        <v>2.9755162079738007</v>
      </c>
      <c r="M50" s="27"/>
      <c r="N50" s="28">
        <f t="shared" si="1"/>
        <v>2.3804129663790405</v>
      </c>
    </row>
    <row r="51" spans="7:15" ht="15" x14ac:dyDescent="0.25">
      <c r="G51" s="21" t="str">
        <f>U6</f>
        <v>FGx</v>
      </c>
      <c r="H51" s="24"/>
      <c r="I51" s="21"/>
      <c r="J51" s="25">
        <v>1.0863773191117923</v>
      </c>
      <c r="L51" s="26">
        <f t="shared" si="0"/>
        <v>1.3579716488897402</v>
      </c>
      <c r="M51" s="27"/>
      <c r="N51" s="28">
        <f t="shared" si="1"/>
        <v>1.0863773191117923</v>
      </c>
    </row>
    <row r="52" spans="7:15" ht="15" x14ac:dyDescent="0.25">
      <c r="G52" s="21" t="str">
        <f>X6</f>
        <v>Vente chutes</v>
      </c>
      <c r="H52" s="23">
        <f>AA25</f>
        <v>0</v>
      </c>
      <c r="I52" s="21"/>
      <c r="J52" s="21"/>
      <c r="L52" s="26">
        <f t="shared" si="0"/>
        <v>0</v>
      </c>
      <c r="M52" s="27"/>
      <c r="N52" s="28">
        <f t="shared" si="1"/>
        <v>0</v>
      </c>
    </row>
    <row r="53" spans="7:15" ht="13.5" thickBot="1" x14ac:dyDescent="0.25">
      <c r="H53" s="19"/>
      <c r="O53" t="s">
        <v>44</v>
      </c>
    </row>
    <row r="54" spans="7:15" ht="16.5" thickTop="1" thickBot="1" x14ac:dyDescent="0.3">
      <c r="G54" s="20" t="s">
        <v>39</v>
      </c>
      <c r="H54" s="20"/>
      <c r="I54" s="20"/>
      <c r="J54" s="30">
        <v>3.23</v>
      </c>
      <c r="K54" s="20"/>
      <c r="L54" s="31">
        <f>IF(H54="",J54*parite,H54)</f>
        <v>4.0374999999999996</v>
      </c>
      <c r="M54" s="32"/>
      <c r="N54" s="30">
        <f>IF(J54="",H54/parite,J54)</f>
        <v>3.23</v>
      </c>
      <c r="O54" s="29"/>
    </row>
    <row r="55" spans="7:15" ht="15.75" thickTop="1" x14ac:dyDescent="0.25">
      <c r="G55" s="22" t="s">
        <v>40</v>
      </c>
      <c r="H55" s="22"/>
      <c r="I55" s="22"/>
      <c r="J55" s="28"/>
      <c r="K55" s="22"/>
      <c r="L55" s="26">
        <f>SUM(L46:L50)+L52</f>
        <v>8.1198306901471113</v>
      </c>
      <c r="M55" s="22"/>
      <c r="N55" s="28">
        <f>SUM(N46:N50)+N52</f>
        <v>6.4958645521176894</v>
      </c>
      <c r="O55" s="22"/>
    </row>
    <row r="56" spans="7:15" ht="15" x14ac:dyDescent="0.25">
      <c r="G56" s="33" t="s">
        <v>41</v>
      </c>
      <c r="H56" s="33"/>
      <c r="I56" s="33"/>
      <c r="J56" s="33"/>
      <c r="K56" s="33"/>
      <c r="L56" s="34">
        <f>SUM(L46:L52)</f>
        <v>9.4778023390368524</v>
      </c>
      <c r="M56" s="33"/>
      <c r="N56" s="35">
        <f>SUM(N46:N52)</f>
        <v>7.5822418712294812</v>
      </c>
      <c r="O56" s="33"/>
    </row>
    <row r="57" spans="7:15" ht="15.75" thickBot="1" x14ac:dyDescent="0.3">
      <c r="G57" s="36" t="s">
        <v>42</v>
      </c>
      <c r="H57" s="37"/>
      <c r="I57" s="37"/>
      <c r="J57" s="37"/>
      <c r="K57" s="37"/>
      <c r="L57" s="38">
        <f>L56+L54</f>
        <v>13.515302339036852</v>
      </c>
      <c r="M57" s="37"/>
      <c r="N57" s="39">
        <f>N56+N54</f>
        <v>10.812241871229482</v>
      </c>
      <c r="O57" s="40">
        <f>(N57-N55)/N57</f>
        <v>0.39921205708478741</v>
      </c>
    </row>
    <row r="58" spans="7:15" ht="15.75" thickTop="1" x14ac:dyDescent="0.25">
      <c r="G58" s="41" t="s">
        <v>43</v>
      </c>
      <c r="H58" s="42"/>
      <c r="I58" s="42"/>
      <c r="J58" s="42"/>
      <c r="K58" s="42">
        <v>1.2849999999999999</v>
      </c>
      <c r="L58" s="43">
        <f>L56*K58</f>
        <v>12.178976005662355</v>
      </c>
      <c r="M58" s="42"/>
      <c r="N58" s="44">
        <f>N56*K58</f>
        <v>9.7431808045298833</v>
      </c>
      <c r="O58" s="45">
        <f>(N58-N55)/N58</f>
        <v>0.33329118257791374</v>
      </c>
    </row>
  </sheetData>
  <mergeCells count="6">
    <mergeCell ref="E33:H33"/>
    <mergeCell ref="E28:H28"/>
    <mergeCell ref="E29:H29"/>
    <mergeCell ref="E30:H30"/>
    <mergeCell ref="E31:H31"/>
    <mergeCell ref="E32:H32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7"/>
  <sheetViews>
    <sheetView workbookViewId="0">
      <selection activeCell="H32" sqref="H32"/>
    </sheetView>
  </sheetViews>
  <sheetFormatPr baseColWidth="10" defaultRowHeight="12.75" x14ac:dyDescent="0.2"/>
  <cols>
    <col min="1" max="1" width="17.140625" customWidth="1"/>
    <col min="12" max="12" width="11.140625" customWidth="1"/>
  </cols>
  <sheetData>
    <row r="2" spans="1:15" x14ac:dyDescent="0.2">
      <c r="A2" s="11" t="s">
        <v>27</v>
      </c>
      <c r="B2">
        <v>1.4</v>
      </c>
    </row>
    <row r="4" spans="1:15" x14ac:dyDescent="0.2">
      <c r="B4">
        <v>2013</v>
      </c>
      <c r="C4">
        <v>2014</v>
      </c>
      <c r="D4">
        <v>2015</v>
      </c>
      <c r="E4">
        <v>2016</v>
      </c>
      <c r="F4">
        <v>2017</v>
      </c>
      <c r="G4">
        <v>2018</v>
      </c>
      <c r="H4">
        <v>2019</v>
      </c>
      <c r="I4">
        <v>2020</v>
      </c>
      <c r="J4">
        <v>2021</v>
      </c>
      <c r="K4">
        <v>2022</v>
      </c>
      <c r="L4">
        <v>2023</v>
      </c>
      <c r="M4">
        <v>2024</v>
      </c>
      <c r="N4">
        <v>2025</v>
      </c>
      <c r="O4">
        <v>2026</v>
      </c>
    </row>
    <row r="5" spans="1:15" x14ac:dyDescent="0.2">
      <c r="A5" s="11" t="s">
        <v>24</v>
      </c>
      <c r="B5">
        <v>50</v>
      </c>
    </row>
    <row r="7" spans="1:15" x14ac:dyDescent="0.2">
      <c r="A7" s="11" t="s">
        <v>25</v>
      </c>
      <c r="E7">
        <v>1162.0749999999998</v>
      </c>
      <c r="F7">
        <v>1813.8999999999999</v>
      </c>
      <c r="G7">
        <v>3266.9</v>
      </c>
      <c r="H7">
        <v>3783.1900000000005</v>
      </c>
      <c r="I7">
        <v>4030.75</v>
      </c>
      <c r="J7">
        <v>4036.8</v>
      </c>
      <c r="K7">
        <v>4036.8</v>
      </c>
      <c r="L7">
        <v>4032.8</v>
      </c>
      <c r="M7">
        <v>4032.8</v>
      </c>
      <c r="N7">
        <v>4032.8</v>
      </c>
      <c r="O7">
        <v>4032.8</v>
      </c>
    </row>
    <row r="9" spans="1:15" x14ac:dyDescent="0.2">
      <c r="A9" s="11" t="s">
        <v>26</v>
      </c>
      <c r="B9" s="11" t="s">
        <v>14</v>
      </c>
      <c r="C9" s="12">
        <v>3.33</v>
      </c>
      <c r="D9" s="13">
        <f>C9/eurodol</f>
        <v>2.3785714285714286</v>
      </c>
      <c r="F9" s="11" t="s">
        <v>28</v>
      </c>
      <c r="G9" s="12">
        <v>4.8540000000000001</v>
      </c>
      <c r="H9" s="13">
        <f>G9/eurodol</f>
        <v>3.4671428571428575</v>
      </c>
      <c r="J9" s="11" t="s">
        <v>29</v>
      </c>
      <c r="L9" s="14">
        <f>D9*2-H9</f>
        <v>1.2899999999999996</v>
      </c>
    </row>
    <row r="11" spans="1:15" x14ac:dyDescent="0.2">
      <c r="A11" s="11" t="s">
        <v>30</v>
      </c>
      <c r="B11" s="15">
        <f>B7*$L$9</f>
        <v>0</v>
      </c>
      <c r="C11" s="15">
        <f t="shared" ref="C11:O11" si="0">C7*$L$9</f>
        <v>0</v>
      </c>
      <c r="D11" s="15">
        <f t="shared" si="0"/>
        <v>0</v>
      </c>
      <c r="E11" s="15">
        <f t="shared" si="0"/>
        <v>1499.0767499999993</v>
      </c>
      <c r="F11" s="15">
        <f t="shared" si="0"/>
        <v>2339.9309999999991</v>
      </c>
      <c r="G11" s="15">
        <f t="shared" si="0"/>
        <v>4214.3009999999986</v>
      </c>
      <c r="H11" s="15">
        <f t="shared" si="0"/>
        <v>4880.3150999999989</v>
      </c>
      <c r="I11" s="15">
        <f t="shared" si="0"/>
        <v>5199.6674999999987</v>
      </c>
      <c r="J11" s="15">
        <f t="shared" si="0"/>
        <v>5207.4719999999988</v>
      </c>
      <c r="K11" s="15">
        <f t="shared" si="0"/>
        <v>5207.4719999999988</v>
      </c>
      <c r="L11" s="15">
        <f t="shared" si="0"/>
        <v>5202.311999999999</v>
      </c>
      <c r="M11" s="15">
        <f t="shared" si="0"/>
        <v>5202.311999999999</v>
      </c>
      <c r="N11" s="15">
        <f t="shared" si="0"/>
        <v>5202.311999999999</v>
      </c>
      <c r="O11" s="15">
        <f t="shared" si="0"/>
        <v>5202.311999999999</v>
      </c>
    </row>
    <row r="12" spans="1:15" x14ac:dyDescent="0.2">
      <c r="A12" s="11" t="s">
        <v>31</v>
      </c>
      <c r="C12" s="15">
        <f>C11+B12</f>
        <v>0</v>
      </c>
      <c r="D12" s="15">
        <f t="shared" ref="D12:O12" si="1">D11+C12</f>
        <v>0</v>
      </c>
      <c r="E12" s="15">
        <f t="shared" si="1"/>
        <v>1499.0767499999993</v>
      </c>
      <c r="F12" s="15">
        <f t="shared" si="1"/>
        <v>3839.0077499999984</v>
      </c>
      <c r="G12" s="15">
        <f t="shared" si="1"/>
        <v>8053.3087499999965</v>
      </c>
      <c r="H12" s="15">
        <f t="shared" si="1"/>
        <v>12933.623849999996</v>
      </c>
      <c r="I12" s="15">
        <f t="shared" si="1"/>
        <v>18133.291349999996</v>
      </c>
      <c r="J12" s="15">
        <f t="shared" si="1"/>
        <v>23340.763349999994</v>
      </c>
      <c r="K12" s="15">
        <f t="shared" si="1"/>
        <v>28548.235349999992</v>
      </c>
      <c r="L12" s="15">
        <f t="shared" si="1"/>
        <v>33750.547349999993</v>
      </c>
      <c r="M12" s="15">
        <f t="shared" si="1"/>
        <v>38952.859349999992</v>
      </c>
      <c r="N12" s="15">
        <f t="shared" si="1"/>
        <v>44155.17134999999</v>
      </c>
      <c r="O12" s="15">
        <f t="shared" si="1"/>
        <v>49357.483349999988</v>
      </c>
    </row>
    <row r="13" spans="1:15" x14ac:dyDescent="0.2">
      <c r="A13" s="11" t="s">
        <v>33</v>
      </c>
      <c r="B13" s="15">
        <f>-$B$5*1000+B12</f>
        <v>-50000</v>
      </c>
      <c r="C13" s="15">
        <f t="shared" ref="C13:O13" si="2">-$B$5*1000+C12</f>
        <v>-50000</v>
      </c>
      <c r="D13" s="15">
        <f t="shared" si="2"/>
        <v>-50000</v>
      </c>
      <c r="E13" s="15">
        <f t="shared" si="2"/>
        <v>-48500.92325</v>
      </c>
      <c r="F13" s="15">
        <f t="shared" si="2"/>
        <v>-46160.992250000003</v>
      </c>
      <c r="G13" s="15">
        <f t="shared" si="2"/>
        <v>-41946.691250000003</v>
      </c>
      <c r="H13" s="15">
        <f t="shared" si="2"/>
        <v>-37066.376150000004</v>
      </c>
      <c r="I13" s="15">
        <f t="shared" si="2"/>
        <v>-31866.708650000004</v>
      </c>
      <c r="J13" s="15">
        <f t="shared" si="2"/>
        <v>-26659.236650000006</v>
      </c>
      <c r="K13" s="15">
        <f t="shared" si="2"/>
        <v>-21451.764650000008</v>
      </c>
      <c r="L13" s="15">
        <f t="shared" si="2"/>
        <v>-16249.452650000007</v>
      </c>
      <c r="M13" s="15">
        <f t="shared" si="2"/>
        <v>-11047.140650000008</v>
      </c>
      <c r="N13" s="15">
        <f t="shared" si="2"/>
        <v>-5844.8286500000104</v>
      </c>
      <c r="O13" s="15">
        <f t="shared" si="2"/>
        <v>-642.51665000001231</v>
      </c>
    </row>
    <row r="14" spans="1:15" x14ac:dyDescent="0.2">
      <c r="I14">
        <f>(H9+L9)*$I$7</f>
        <v>19174.853571428572</v>
      </c>
    </row>
    <row r="15" spans="1:15" x14ac:dyDescent="0.2">
      <c r="A15" s="11" t="s">
        <v>34</v>
      </c>
      <c r="B15" s="11" t="s">
        <v>14</v>
      </c>
      <c r="C15" s="12">
        <v>3.33</v>
      </c>
      <c r="D15" s="13">
        <f>C15/eurodol</f>
        <v>2.3785714285714286</v>
      </c>
      <c r="F15" s="11" t="s">
        <v>28</v>
      </c>
      <c r="G15" s="12">
        <v>4.8540000000000001</v>
      </c>
      <c r="H15" s="13">
        <f>G15/eurodol</f>
        <v>3.4671428571428575</v>
      </c>
      <c r="J15" s="11" t="s">
        <v>32</v>
      </c>
      <c r="L15" s="14">
        <f>H15*0.5</f>
        <v>1.7335714285714288</v>
      </c>
    </row>
    <row r="17" spans="1:15" x14ac:dyDescent="0.2">
      <c r="A17" s="11" t="s">
        <v>30</v>
      </c>
      <c r="B17" s="15">
        <f>B7*$L$15</f>
        <v>0</v>
      </c>
      <c r="C17" s="15">
        <f t="shared" ref="C17:O17" si="3">C7*$L$15</f>
        <v>0</v>
      </c>
      <c r="D17" s="15">
        <f t="shared" si="3"/>
        <v>0</v>
      </c>
      <c r="E17" s="15">
        <f t="shared" si="3"/>
        <v>2014.5400178571429</v>
      </c>
      <c r="F17" s="15">
        <f t="shared" si="3"/>
        <v>3144.5252142857144</v>
      </c>
      <c r="G17" s="15">
        <f t="shared" si="3"/>
        <v>5663.4045000000006</v>
      </c>
      <c r="H17" s="15">
        <f t="shared" si="3"/>
        <v>6558.4300928571447</v>
      </c>
      <c r="I17" s="15">
        <f t="shared" si="3"/>
        <v>6987.5930357142861</v>
      </c>
      <c r="J17" s="15">
        <f t="shared" si="3"/>
        <v>6998.0811428571442</v>
      </c>
      <c r="K17" s="15">
        <f t="shared" si="3"/>
        <v>6998.0811428571442</v>
      </c>
      <c r="L17" s="15">
        <f t="shared" si="3"/>
        <v>6991.1468571428586</v>
      </c>
      <c r="M17" s="15">
        <f t="shared" si="3"/>
        <v>6991.1468571428586</v>
      </c>
      <c r="N17" s="15">
        <f t="shared" si="3"/>
        <v>6991.1468571428586</v>
      </c>
      <c r="O17" s="15">
        <f t="shared" si="3"/>
        <v>6991.1468571428586</v>
      </c>
    </row>
    <row r="18" spans="1:15" x14ac:dyDescent="0.2">
      <c r="A18" s="11" t="s">
        <v>31</v>
      </c>
      <c r="C18" s="15">
        <f>C17+B18</f>
        <v>0</v>
      </c>
      <c r="D18" s="15">
        <f t="shared" ref="D18:O18" si="4">D17+C18</f>
        <v>0</v>
      </c>
      <c r="E18" s="15">
        <f t="shared" si="4"/>
        <v>2014.5400178571429</v>
      </c>
      <c r="F18" s="15">
        <f t="shared" si="4"/>
        <v>5159.065232142857</v>
      </c>
      <c r="G18" s="15">
        <f t="shared" si="4"/>
        <v>10822.469732142858</v>
      </c>
      <c r="H18" s="15">
        <f t="shared" si="4"/>
        <v>17380.899825</v>
      </c>
      <c r="I18" s="15">
        <f t="shared" si="4"/>
        <v>24368.492860714287</v>
      </c>
      <c r="J18" s="15">
        <f t="shared" si="4"/>
        <v>31366.57400357143</v>
      </c>
      <c r="K18" s="15">
        <f t="shared" si="4"/>
        <v>38364.655146428573</v>
      </c>
      <c r="L18" s="15">
        <f t="shared" si="4"/>
        <v>45355.802003571429</v>
      </c>
      <c r="M18" s="15">
        <f t="shared" si="4"/>
        <v>52346.948860714285</v>
      </c>
      <c r="N18" s="15">
        <f t="shared" si="4"/>
        <v>59338.095717857141</v>
      </c>
      <c r="O18" s="15">
        <f t="shared" si="4"/>
        <v>66329.242574999997</v>
      </c>
    </row>
    <row r="19" spans="1:15" x14ac:dyDescent="0.2">
      <c r="A19" s="11" t="s">
        <v>33</v>
      </c>
      <c r="B19" s="15">
        <f>-$B$5*1000+B18</f>
        <v>-50000</v>
      </c>
      <c r="C19" s="15">
        <f t="shared" ref="C19:M19" si="5">-$B$5*1000+C18</f>
        <v>-50000</v>
      </c>
      <c r="D19" s="15">
        <f t="shared" si="5"/>
        <v>-50000</v>
      </c>
      <c r="E19" s="15">
        <f t="shared" si="5"/>
        <v>-47985.459982142856</v>
      </c>
      <c r="F19" s="15">
        <f t="shared" si="5"/>
        <v>-44840.934767857143</v>
      </c>
      <c r="G19" s="15">
        <f t="shared" si="5"/>
        <v>-39177.530267857146</v>
      </c>
      <c r="H19" s="15">
        <f t="shared" si="5"/>
        <v>-32619.100175</v>
      </c>
      <c r="I19" s="15">
        <f t="shared" si="5"/>
        <v>-25631.507139285713</v>
      </c>
      <c r="J19" s="15">
        <f t="shared" si="5"/>
        <v>-18633.42599642857</v>
      </c>
      <c r="K19" s="15">
        <f t="shared" si="5"/>
        <v>-11635.344853571427</v>
      </c>
      <c r="L19" s="15">
        <f t="shared" si="5"/>
        <v>-4644.1979964285711</v>
      </c>
      <c r="M19" s="15">
        <f t="shared" si="5"/>
        <v>2346.9488607142848</v>
      </c>
      <c r="N19" s="15">
        <f>-$B$5*1000+N18</f>
        <v>9338.0957178571407</v>
      </c>
      <c r="O19" s="15">
        <f>-$B$5*1000+O18</f>
        <v>16329.242574999997</v>
      </c>
    </row>
    <row r="20" spans="1:15" x14ac:dyDescent="0.2">
      <c r="I20">
        <f>(H15+L15)*$I$7</f>
        <v>20962.779107142862</v>
      </c>
    </row>
    <row r="22" spans="1:15" x14ac:dyDescent="0.2">
      <c r="A22" s="11" t="s">
        <v>35</v>
      </c>
      <c r="F22" s="11"/>
      <c r="H22" s="13">
        <f>H15</f>
        <v>3.4671428571428575</v>
      </c>
      <c r="J22" s="11" t="s">
        <v>36</v>
      </c>
      <c r="L22" s="14">
        <v>2.2999999999999998</v>
      </c>
    </row>
    <row r="24" spans="1:15" x14ac:dyDescent="0.2">
      <c r="A24" s="11" t="s">
        <v>30</v>
      </c>
      <c r="B24" s="15">
        <f>B7*$L$22</f>
        <v>0</v>
      </c>
      <c r="C24" s="15">
        <f t="shared" ref="C24:O24" si="6">C7*$L$22</f>
        <v>0</v>
      </c>
      <c r="D24" s="15">
        <f t="shared" si="6"/>
        <v>0</v>
      </c>
      <c r="E24" s="15">
        <f t="shared" si="6"/>
        <v>2672.7724999999996</v>
      </c>
      <c r="F24" s="15">
        <f t="shared" si="6"/>
        <v>4171.9699999999993</v>
      </c>
      <c r="G24" s="15">
        <f t="shared" si="6"/>
        <v>7513.87</v>
      </c>
      <c r="H24" s="15">
        <f t="shared" si="6"/>
        <v>8701.3370000000014</v>
      </c>
      <c r="I24" s="15">
        <f t="shared" si="6"/>
        <v>9270.7249999999985</v>
      </c>
      <c r="J24" s="15">
        <f t="shared" si="6"/>
        <v>9284.64</v>
      </c>
      <c r="K24" s="15">
        <f t="shared" si="6"/>
        <v>9284.64</v>
      </c>
      <c r="L24" s="15">
        <f t="shared" si="6"/>
        <v>9275.44</v>
      </c>
      <c r="M24" s="15">
        <f t="shared" si="6"/>
        <v>9275.44</v>
      </c>
      <c r="N24" s="15">
        <f t="shared" si="6"/>
        <v>9275.44</v>
      </c>
      <c r="O24" s="15">
        <f t="shared" si="6"/>
        <v>9275.44</v>
      </c>
    </row>
    <row r="25" spans="1:15" x14ac:dyDescent="0.2">
      <c r="A25" s="11" t="s">
        <v>31</v>
      </c>
      <c r="C25" s="15">
        <f>C24+B25</f>
        <v>0</v>
      </c>
      <c r="D25" s="15">
        <f t="shared" ref="D25:O25" si="7">D24+C25</f>
        <v>0</v>
      </c>
      <c r="E25" s="15">
        <f t="shared" si="7"/>
        <v>2672.7724999999996</v>
      </c>
      <c r="F25" s="15">
        <f t="shared" si="7"/>
        <v>6844.7424999999985</v>
      </c>
      <c r="G25" s="15">
        <f t="shared" si="7"/>
        <v>14358.612499999999</v>
      </c>
      <c r="H25" s="15">
        <f t="shared" si="7"/>
        <v>23059.949500000002</v>
      </c>
      <c r="I25" s="15">
        <f t="shared" si="7"/>
        <v>32330.674500000001</v>
      </c>
      <c r="J25" s="15">
        <f t="shared" si="7"/>
        <v>41615.3145</v>
      </c>
      <c r="K25" s="15">
        <f t="shared" si="7"/>
        <v>50899.9545</v>
      </c>
      <c r="L25" s="15">
        <f t="shared" si="7"/>
        <v>60175.394500000002</v>
      </c>
      <c r="M25" s="15">
        <f t="shared" si="7"/>
        <v>69450.834499999997</v>
      </c>
      <c r="N25" s="15">
        <f t="shared" si="7"/>
        <v>78726.2745</v>
      </c>
      <c r="O25" s="15">
        <f t="shared" si="7"/>
        <v>88001.714500000002</v>
      </c>
    </row>
    <row r="26" spans="1:15" x14ac:dyDescent="0.2">
      <c r="A26" s="11" t="s">
        <v>33</v>
      </c>
      <c r="B26" s="15">
        <f t="shared" ref="B26:O26" si="8">-$B$5*1000+B25</f>
        <v>-50000</v>
      </c>
      <c r="C26" s="15">
        <f t="shared" si="8"/>
        <v>-50000</v>
      </c>
      <c r="D26" s="15">
        <f t="shared" si="8"/>
        <v>-50000</v>
      </c>
      <c r="E26" s="15">
        <f t="shared" si="8"/>
        <v>-47327.227500000001</v>
      </c>
      <c r="F26" s="15">
        <f t="shared" si="8"/>
        <v>-43155.2575</v>
      </c>
      <c r="G26" s="15">
        <f t="shared" si="8"/>
        <v>-35641.387499999997</v>
      </c>
      <c r="H26" s="15">
        <f t="shared" si="8"/>
        <v>-26940.050499999998</v>
      </c>
      <c r="I26" s="15">
        <f t="shared" si="8"/>
        <v>-17669.325499999999</v>
      </c>
      <c r="J26" s="15">
        <f t="shared" si="8"/>
        <v>-8384.6854999999996</v>
      </c>
      <c r="K26" s="15">
        <f t="shared" si="8"/>
        <v>899.95449999999983</v>
      </c>
      <c r="L26" s="15">
        <f t="shared" si="8"/>
        <v>10175.394500000002</v>
      </c>
      <c r="M26" s="15">
        <f t="shared" si="8"/>
        <v>19450.834499999997</v>
      </c>
      <c r="N26" s="15">
        <f t="shared" si="8"/>
        <v>28726.2745</v>
      </c>
      <c r="O26" s="15">
        <f t="shared" si="8"/>
        <v>38001.714500000002</v>
      </c>
    </row>
    <row r="27" spans="1:15" x14ac:dyDescent="0.2">
      <c r="I27">
        <f>(H22+L22)*$I$7</f>
        <v>23245.911071428574</v>
      </c>
    </row>
  </sheetData>
  <phoneticPr fontId="2" type="noConversion"/>
  <pageMargins left="0.25" right="0.25" top="0.75" bottom="0.75" header="0.3" footer="0.3"/>
  <pageSetup paperSize="9" scale="82" fitToHeight="0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2"/>
  <sheetViews>
    <sheetView topLeftCell="H1" workbookViewId="0">
      <selection activeCell="M4" sqref="M4"/>
    </sheetView>
  </sheetViews>
  <sheetFormatPr baseColWidth="10" defaultRowHeight="15" x14ac:dyDescent="0.25"/>
  <cols>
    <col min="1" max="1" width="11.7109375" style="85" customWidth="1"/>
    <col min="2" max="2" width="7.5703125" style="85" customWidth="1"/>
    <col min="3" max="3" width="7.28515625" style="85" customWidth="1"/>
    <col min="4" max="4" width="19.5703125" style="85" customWidth="1"/>
    <col min="5" max="5" width="37.5703125" style="85" customWidth="1"/>
    <col min="6" max="6" width="11.140625" style="85" customWidth="1"/>
    <col min="7" max="7" width="7.5703125" style="85" customWidth="1"/>
    <col min="8" max="8" width="11" style="85" customWidth="1"/>
    <col min="9" max="9" width="11.140625" style="85" customWidth="1"/>
    <col min="10" max="10" width="10" style="85" customWidth="1"/>
    <col min="11" max="11" width="10.85546875" style="85" customWidth="1"/>
    <col min="12" max="12" width="10.42578125" style="85" customWidth="1"/>
    <col min="13" max="17" width="11.42578125" style="85"/>
    <col min="18" max="18" width="8.28515625" style="85" customWidth="1"/>
    <col min="19" max="19" width="9.28515625" style="85" customWidth="1"/>
    <col min="20" max="21" width="11.42578125" style="85"/>
    <col min="22" max="22" width="16.140625" style="85" customWidth="1"/>
    <col min="23" max="23" width="9.42578125" style="85" customWidth="1"/>
    <col min="24" max="24" width="9.5703125" style="85" customWidth="1"/>
    <col min="25" max="25" width="10.28515625" style="85" customWidth="1"/>
    <col min="26" max="26" width="11.42578125" style="85" customWidth="1"/>
    <col min="27" max="27" width="13.140625" style="85" customWidth="1"/>
    <col min="28" max="28" width="11.42578125" style="85" customWidth="1"/>
    <col min="29" max="16384" width="11.42578125" style="85"/>
  </cols>
  <sheetData>
    <row r="1" spans="1:28" x14ac:dyDescent="0.25">
      <c r="A1" s="85">
        <v>1</v>
      </c>
      <c r="B1" s="85">
        <v>2</v>
      </c>
      <c r="C1" s="85">
        <v>3</v>
      </c>
      <c r="D1" s="85">
        <v>4</v>
      </c>
      <c r="E1" s="85">
        <v>5</v>
      </c>
      <c r="F1" s="85">
        <v>6</v>
      </c>
      <c r="G1" s="85">
        <v>7</v>
      </c>
      <c r="H1" s="85">
        <v>8</v>
      </c>
      <c r="I1" s="85">
        <v>9</v>
      </c>
      <c r="J1" s="85">
        <v>10</v>
      </c>
      <c r="K1" s="85">
        <v>11</v>
      </c>
      <c r="L1" s="85">
        <v>12</v>
      </c>
      <c r="M1" s="85">
        <v>13</v>
      </c>
      <c r="N1" s="85">
        <v>14</v>
      </c>
      <c r="O1" s="85">
        <v>15</v>
      </c>
      <c r="P1" s="85">
        <v>16</v>
      </c>
      <c r="Q1" s="85">
        <v>17</v>
      </c>
      <c r="R1" s="85">
        <v>18</v>
      </c>
      <c r="S1" s="85">
        <v>19</v>
      </c>
      <c r="T1" s="85">
        <v>20</v>
      </c>
      <c r="U1" s="85">
        <v>21</v>
      </c>
      <c r="V1" s="85">
        <v>22</v>
      </c>
      <c r="W1" s="85">
        <v>23</v>
      </c>
      <c r="X1" s="85">
        <v>24</v>
      </c>
      <c r="Y1" s="85">
        <v>25</v>
      </c>
      <c r="Z1" s="85">
        <v>26</v>
      </c>
      <c r="AA1" s="85">
        <v>27</v>
      </c>
      <c r="AB1" s="85">
        <v>28</v>
      </c>
    </row>
    <row r="2" spans="1:28" x14ac:dyDescent="0.25">
      <c r="L2" s="86" t="s">
        <v>127</v>
      </c>
      <c r="M2" s="86"/>
      <c r="N2" s="86"/>
      <c r="O2" s="86" t="s">
        <v>128</v>
      </c>
      <c r="P2" s="86"/>
      <c r="Q2" s="86"/>
      <c r="R2" s="86" t="s">
        <v>129</v>
      </c>
      <c r="S2" s="86"/>
      <c r="T2" s="86"/>
      <c r="U2" s="87"/>
      <c r="V2" s="85" t="s">
        <v>130</v>
      </c>
      <c r="X2" s="85" t="s">
        <v>131</v>
      </c>
    </row>
    <row r="3" spans="1:28" ht="60" x14ac:dyDescent="0.25">
      <c r="A3" s="85" t="s">
        <v>132</v>
      </c>
      <c r="B3" s="88" t="s">
        <v>133</v>
      </c>
      <c r="C3" s="88" t="s">
        <v>134</v>
      </c>
      <c r="D3" s="88" t="s">
        <v>135</v>
      </c>
      <c r="E3" s="88" t="s">
        <v>136</v>
      </c>
      <c r="F3" s="88" t="s">
        <v>137</v>
      </c>
      <c r="G3" s="88" t="s">
        <v>138</v>
      </c>
      <c r="H3" s="88" t="s">
        <v>139</v>
      </c>
      <c r="I3" s="89" t="s">
        <v>140</v>
      </c>
      <c r="J3" s="88" t="s">
        <v>141</v>
      </c>
      <c r="K3" s="88" t="s">
        <v>142</v>
      </c>
      <c r="L3" s="88" t="s">
        <v>143</v>
      </c>
      <c r="M3" s="88" t="s">
        <v>144</v>
      </c>
      <c r="N3" s="88" t="s">
        <v>145</v>
      </c>
      <c r="O3" s="88" t="s">
        <v>146</v>
      </c>
      <c r="P3" s="88" t="s">
        <v>147</v>
      </c>
      <c r="Q3" s="88" t="s">
        <v>148</v>
      </c>
      <c r="R3" s="88" t="s">
        <v>149</v>
      </c>
      <c r="S3" s="88" t="s">
        <v>150</v>
      </c>
      <c r="T3" s="88" t="s">
        <v>151</v>
      </c>
      <c r="U3" s="88" t="s">
        <v>152</v>
      </c>
      <c r="V3" s="88" t="s">
        <v>128</v>
      </c>
      <c r="W3" s="88" t="s">
        <v>129</v>
      </c>
      <c r="X3" s="88" t="s">
        <v>153</v>
      </c>
      <c r="Y3" s="88" t="s">
        <v>154</v>
      </c>
      <c r="Z3" s="90" t="s">
        <v>155</v>
      </c>
      <c r="AA3" s="88" t="s">
        <v>156</v>
      </c>
      <c r="AB3" s="88" t="s">
        <v>157</v>
      </c>
    </row>
    <row r="4" spans="1:28" x14ac:dyDescent="0.25">
      <c r="A4" s="85" t="str">
        <f>CONCATENATE(B4,"-",C4)</f>
        <v>UKTMP-01</v>
      </c>
      <c r="B4" s="85" t="s">
        <v>158</v>
      </c>
      <c r="C4" s="91" t="s">
        <v>159</v>
      </c>
      <c r="D4" s="85" t="s">
        <v>160</v>
      </c>
      <c r="E4" s="85" t="s">
        <v>161</v>
      </c>
      <c r="F4" s="85" t="s">
        <v>162</v>
      </c>
      <c r="G4" s="85">
        <v>5</v>
      </c>
      <c r="H4" s="85">
        <v>1</v>
      </c>
      <c r="I4" s="85">
        <v>1.21</v>
      </c>
      <c r="J4" s="85">
        <v>1</v>
      </c>
      <c r="K4" s="85">
        <f t="shared" ref="K4:K22" si="0">J4*I4</f>
        <v>1.21</v>
      </c>
      <c r="L4" s="85">
        <f>(K4-J4)*0.25</f>
        <v>5.2499999999999991E-2</v>
      </c>
      <c r="M4" s="85">
        <f>(K4-J4)*0.55</f>
        <v>0.11549999999999999</v>
      </c>
      <c r="N4" s="85" t="s">
        <v>163</v>
      </c>
      <c r="O4" s="85">
        <f>0.13*J4</f>
        <v>0.13</v>
      </c>
      <c r="P4" s="85">
        <f>0.036*J4</f>
        <v>3.5999999999999997E-2</v>
      </c>
      <c r="Q4" s="85" t="s">
        <v>163</v>
      </c>
      <c r="R4" s="85">
        <v>0</v>
      </c>
      <c r="S4" s="85">
        <f>0.78*J4*5/6</f>
        <v>0.65</v>
      </c>
      <c r="T4" s="85" t="s">
        <v>163</v>
      </c>
      <c r="U4" s="85" t="s">
        <v>164</v>
      </c>
      <c r="V4" s="85" t="s">
        <v>165</v>
      </c>
      <c r="W4" s="85" t="s">
        <v>166</v>
      </c>
      <c r="X4" s="85">
        <f t="shared" ref="X4:X22" si="1">VLOOKUP("UKAD",recupchute,2,FALSE)*L4+VLOOKUP(V4,recupchute,2,FALSE)*O4+VLOOKUP(W4,recupchute,2,FALSE)*R4</f>
        <v>0.17599999999999999</v>
      </c>
      <c r="Y4" s="85">
        <f t="shared" ref="Y4:Y22" si="2">VLOOKUP("UKAD",recupchute,3,FALSE)*M4+VLOOKUP(V4,recupchute,3,FALSE)*P4+VLOOKUP(W4,recupchute,3,FALSE)*S4</f>
        <v>9.0149999999999994E-2</v>
      </c>
      <c r="Z4" s="85" t="s">
        <v>167</v>
      </c>
      <c r="AA4" s="85" t="s">
        <v>167</v>
      </c>
      <c r="AB4" s="85" t="s">
        <v>166</v>
      </c>
    </row>
    <row r="5" spans="1:28" x14ac:dyDescent="0.25">
      <c r="A5" s="85" t="str">
        <f t="shared" ref="A5:A22" si="3">CONCATENATE(B5,"-",C5)</f>
        <v>UKTMP-02</v>
      </c>
      <c r="B5" s="85" t="s">
        <v>158</v>
      </c>
      <c r="C5" s="91" t="s">
        <v>168</v>
      </c>
      <c r="D5" s="85" t="s">
        <v>169</v>
      </c>
      <c r="E5" s="85" t="s">
        <v>170</v>
      </c>
      <c r="G5" s="85">
        <v>5</v>
      </c>
      <c r="H5" s="85">
        <v>1</v>
      </c>
      <c r="I5" s="85">
        <v>1.1599999999999999</v>
      </c>
      <c r="J5" s="85">
        <v>1</v>
      </c>
      <c r="K5" s="85">
        <f t="shared" si="0"/>
        <v>1.1599999999999999</v>
      </c>
      <c r="L5" s="85">
        <f>0.4*(K5-J5)</f>
        <v>6.3999999999999974E-2</v>
      </c>
      <c r="M5" s="85">
        <v>0</v>
      </c>
      <c r="N5" s="85" t="s">
        <v>163</v>
      </c>
      <c r="Q5" s="85" t="s">
        <v>163</v>
      </c>
      <c r="T5" s="85" t="s">
        <v>163</v>
      </c>
      <c r="U5" s="85" t="s">
        <v>164</v>
      </c>
      <c r="V5" s="85" t="s">
        <v>166</v>
      </c>
      <c r="W5" s="85" t="s">
        <v>166</v>
      </c>
      <c r="X5" s="85">
        <f t="shared" si="1"/>
        <v>6.3999999999999974E-2</v>
      </c>
      <c r="Y5" s="85">
        <f t="shared" si="2"/>
        <v>0</v>
      </c>
      <c r="Z5" s="85" t="s">
        <v>167</v>
      </c>
      <c r="AA5" s="85" t="s">
        <v>167</v>
      </c>
      <c r="AB5" s="85" t="s">
        <v>166</v>
      </c>
    </row>
    <row r="6" spans="1:28" x14ac:dyDescent="0.25">
      <c r="A6" s="85" t="str">
        <f t="shared" si="3"/>
        <v>UKTMP-03</v>
      </c>
      <c r="B6" s="85" t="s">
        <v>158</v>
      </c>
      <c r="C6" s="91" t="s">
        <v>171</v>
      </c>
      <c r="D6" s="85" t="s">
        <v>172</v>
      </c>
      <c r="E6" s="85" t="s">
        <v>173</v>
      </c>
      <c r="G6" s="85">
        <v>5</v>
      </c>
      <c r="H6" s="85">
        <v>1</v>
      </c>
      <c r="I6" s="85">
        <v>1.21</v>
      </c>
      <c r="J6" s="85">
        <v>1</v>
      </c>
      <c r="K6" s="85">
        <f t="shared" si="0"/>
        <v>1.21</v>
      </c>
      <c r="L6" s="85">
        <f>(K6-J6)*0.25</f>
        <v>5.2499999999999991E-2</v>
      </c>
      <c r="M6" s="85">
        <f>(K6-J6)*0.55</f>
        <v>0.11549999999999999</v>
      </c>
      <c r="N6" s="85" t="s">
        <v>163</v>
      </c>
      <c r="Q6" s="85" t="s">
        <v>163</v>
      </c>
      <c r="T6" s="85" t="s">
        <v>163</v>
      </c>
      <c r="U6" s="85" t="s">
        <v>164</v>
      </c>
      <c r="V6" s="85" t="s">
        <v>166</v>
      </c>
      <c r="W6" s="85" t="s">
        <v>166</v>
      </c>
      <c r="X6" s="85">
        <f t="shared" si="1"/>
        <v>5.2499999999999991E-2</v>
      </c>
      <c r="Y6" s="85">
        <f t="shared" si="2"/>
        <v>5.7749999999999996E-2</v>
      </c>
      <c r="Z6" s="85" t="s">
        <v>167</v>
      </c>
      <c r="AA6" s="85" t="s">
        <v>167</v>
      </c>
      <c r="AB6" s="85" t="s">
        <v>166</v>
      </c>
    </row>
    <row r="7" spans="1:28" x14ac:dyDescent="0.25">
      <c r="A7" s="85" t="str">
        <f t="shared" si="3"/>
        <v>UKTMP-04</v>
      </c>
      <c r="B7" s="85" t="s">
        <v>158</v>
      </c>
      <c r="C7" s="91" t="s">
        <v>174</v>
      </c>
      <c r="D7" s="85" t="s">
        <v>175</v>
      </c>
      <c r="E7" s="85" t="s">
        <v>176</v>
      </c>
      <c r="G7" s="85">
        <v>5</v>
      </c>
      <c r="H7" s="85">
        <v>1</v>
      </c>
      <c r="I7" s="85">
        <v>1.21</v>
      </c>
      <c r="J7" s="85">
        <v>1</v>
      </c>
      <c r="K7" s="85">
        <f t="shared" si="0"/>
        <v>1.21</v>
      </c>
      <c r="L7" s="85">
        <f>(K7-J7)*0.25</f>
        <v>5.2499999999999991E-2</v>
      </c>
      <c r="M7" s="85">
        <f>(K7-J7)*0.55</f>
        <v>0.11549999999999999</v>
      </c>
      <c r="N7" s="85" t="s">
        <v>163</v>
      </c>
      <c r="Q7" s="85" t="s">
        <v>163</v>
      </c>
      <c r="T7" s="85" t="s">
        <v>163</v>
      </c>
      <c r="U7" s="85" t="s">
        <v>164</v>
      </c>
      <c r="V7" s="85" t="s">
        <v>166</v>
      </c>
      <c r="W7" s="85" t="s">
        <v>166</v>
      </c>
      <c r="X7" s="85">
        <f t="shared" si="1"/>
        <v>5.2499999999999991E-2</v>
      </c>
      <c r="Y7" s="85">
        <f t="shared" si="2"/>
        <v>5.7749999999999996E-2</v>
      </c>
      <c r="Z7" s="85" t="s">
        <v>167</v>
      </c>
      <c r="AA7" s="85" t="s">
        <v>167</v>
      </c>
      <c r="AB7" s="85" t="s">
        <v>166</v>
      </c>
    </row>
    <row r="8" spans="1:28" x14ac:dyDescent="0.25">
      <c r="A8" s="85" t="str">
        <f t="shared" si="3"/>
        <v>UKTMP-05</v>
      </c>
      <c r="B8" s="85" t="s">
        <v>158</v>
      </c>
      <c r="C8" s="91" t="s">
        <v>177</v>
      </c>
      <c r="D8" s="85" t="s">
        <v>178</v>
      </c>
      <c r="E8" s="85" t="s">
        <v>179</v>
      </c>
      <c r="G8" s="85">
        <v>5</v>
      </c>
      <c r="H8" s="85">
        <v>1</v>
      </c>
      <c r="I8" s="85">
        <v>1.21</v>
      </c>
      <c r="J8" s="85">
        <v>1</v>
      </c>
      <c r="K8" s="85">
        <f t="shared" si="0"/>
        <v>1.21</v>
      </c>
      <c r="L8" s="85">
        <f>(K8-J8)*0.25</f>
        <v>5.2499999999999991E-2</v>
      </c>
      <c r="M8" s="85">
        <f>(K8-J8)*0.55</f>
        <v>0.11549999999999999</v>
      </c>
      <c r="N8" s="85" t="s">
        <v>163</v>
      </c>
      <c r="Q8" s="85" t="s">
        <v>163</v>
      </c>
      <c r="T8" s="85" t="s">
        <v>163</v>
      </c>
      <c r="U8" s="85" t="s">
        <v>164</v>
      </c>
      <c r="V8" s="85" t="s">
        <v>166</v>
      </c>
      <c r="W8" s="85" t="s">
        <v>166</v>
      </c>
      <c r="X8" s="85">
        <f t="shared" si="1"/>
        <v>5.2499999999999991E-2</v>
      </c>
      <c r="Y8" s="85">
        <f t="shared" si="2"/>
        <v>5.7749999999999996E-2</v>
      </c>
      <c r="Z8" s="85" t="s">
        <v>167</v>
      </c>
      <c r="AA8" s="85" t="s">
        <v>167</v>
      </c>
      <c r="AB8" s="85" t="s">
        <v>166</v>
      </c>
    </row>
    <row r="9" spans="1:28" x14ac:dyDescent="0.25">
      <c r="A9" s="85" t="str">
        <f t="shared" si="3"/>
        <v>UKTMP-06</v>
      </c>
      <c r="B9" s="85" t="s">
        <v>158</v>
      </c>
      <c r="C9" s="91" t="s">
        <v>180</v>
      </c>
      <c r="D9" s="85" t="s">
        <v>181</v>
      </c>
      <c r="E9" s="85" t="s">
        <v>182</v>
      </c>
      <c r="F9" s="85" t="s">
        <v>183</v>
      </c>
      <c r="G9" s="85">
        <v>5</v>
      </c>
      <c r="H9" s="85">
        <v>1</v>
      </c>
      <c r="I9" s="85">
        <v>1.411</v>
      </c>
      <c r="J9" s="85">
        <v>1</v>
      </c>
      <c r="K9" s="85">
        <f t="shared" si="0"/>
        <v>1.411</v>
      </c>
      <c r="L9" s="85">
        <v>5.2499999999999998E-2</v>
      </c>
      <c r="N9" s="85" t="s">
        <v>163</v>
      </c>
      <c r="O9" s="85">
        <v>6.25E-2</v>
      </c>
      <c r="P9" s="85">
        <v>0.218</v>
      </c>
      <c r="Q9" s="85" t="s">
        <v>163</v>
      </c>
      <c r="T9" s="85" t="s">
        <v>163</v>
      </c>
      <c r="U9" s="85" t="s">
        <v>164</v>
      </c>
      <c r="V9" s="85" t="s">
        <v>184</v>
      </c>
      <c r="W9" s="85" t="s">
        <v>166</v>
      </c>
      <c r="X9" s="85">
        <f t="shared" si="1"/>
        <v>0.10875</v>
      </c>
      <c r="Y9" s="85">
        <f t="shared" si="2"/>
        <v>0</v>
      </c>
      <c r="Z9" s="85" t="s">
        <v>167</v>
      </c>
      <c r="AA9" s="85" t="s">
        <v>167</v>
      </c>
      <c r="AB9" s="85" t="s">
        <v>166</v>
      </c>
    </row>
    <row r="10" spans="1:28" x14ac:dyDescent="0.25">
      <c r="A10" s="85" t="str">
        <f t="shared" si="3"/>
        <v>UKTMP-07</v>
      </c>
      <c r="B10" s="85" t="s">
        <v>158</v>
      </c>
      <c r="C10" s="91" t="s">
        <v>185</v>
      </c>
      <c r="D10" s="85" t="s">
        <v>186</v>
      </c>
      <c r="E10" s="85" t="s">
        <v>187</v>
      </c>
      <c r="F10" s="85" t="s">
        <v>183</v>
      </c>
      <c r="G10" s="85">
        <v>23</v>
      </c>
      <c r="H10" s="85">
        <v>1</v>
      </c>
      <c r="I10" s="85">
        <v>1.411</v>
      </c>
      <c r="J10" s="85">
        <v>1</v>
      </c>
      <c r="K10" s="85">
        <f t="shared" si="0"/>
        <v>1.411</v>
      </c>
      <c r="L10" s="85">
        <v>5.2499999999999998E-2</v>
      </c>
      <c r="N10" s="85" t="s">
        <v>163</v>
      </c>
      <c r="O10" s="85">
        <v>6.25E-2</v>
      </c>
      <c r="P10" s="85">
        <v>0.218</v>
      </c>
      <c r="Q10" s="85" t="s">
        <v>163</v>
      </c>
      <c r="T10" s="85" t="s">
        <v>163</v>
      </c>
      <c r="U10" s="85" t="s">
        <v>164</v>
      </c>
      <c r="V10" s="85" t="s">
        <v>184</v>
      </c>
      <c r="W10" s="85" t="s">
        <v>166</v>
      </c>
      <c r="X10" s="85">
        <f t="shared" si="1"/>
        <v>0.10875</v>
      </c>
      <c r="Y10" s="85">
        <f t="shared" si="2"/>
        <v>0</v>
      </c>
      <c r="Z10" s="85" t="s">
        <v>167</v>
      </c>
      <c r="AA10" s="85" t="s">
        <v>167</v>
      </c>
      <c r="AB10" s="85" t="s">
        <v>166</v>
      </c>
    </row>
    <row r="11" spans="1:28" x14ac:dyDescent="0.25">
      <c r="A11" s="85" t="str">
        <f t="shared" si="3"/>
        <v>UKTMP-08</v>
      </c>
      <c r="B11" s="85" t="s">
        <v>158</v>
      </c>
      <c r="C11" s="91" t="s">
        <v>188</v>
      </c>
      <c r="D11" s="85" t="s">
        <v>189</v>
      </c>
      <c r="E11" s="85" t="s">
        <v>190</v>
      </c>
      <c r="G11" s="85">
        <v>2</v>
      </c>
      <c r="H11" s="85">
        <v>1</v>
      </c>
      <c r="I11" s="85">
        <v>1.21</v>
      </c>
      <c r="J11" s="85">
        <v>1</v>
      </c>
      <c r="K11" s="85">
        <f t="shared" si="0"/>
        <v>1.21</v>
      </c>
      <c r="L11" s="85">
        <f t="shared" ref="L11:L16" si="4">(K11-J11)*0.25</f>
        <v>5.2499999999999991E-2</v>
      </c>
      <c r="M11" s="85">
        <f t="shared" ref="M11:M16" si="5">(K11-J11)*0.55</f>
        <v>0.11549999999999999</v>
      </c>
      <c r="N11" s="85" t="s">
        <v>163</v>
      </c>
      <c r="Q11" s="85" t="s">
        <v>163</v>
      </c>
      <c r="T11" s="85" t="s">
        <v>163</v>
      </c>
      <c r="U11" s="85" t="s">
        <v>191</v>
      </c>
      <c r="V11" s="85" t="s">
        <v>166</v>
      </c>
      <c r="W11" s="85" t="s">
        <v>166</v>
      </c>
      <c r="X11" s="85">
        <f t="shared" si="1"/>
        <v>5.2499999999999991E-2</v>
      </c>
      <c r="Y11" s="85">
        <f t="shared" si="2"/>
        <v>5.7749999999999996E-2</v>
      </c>
      <c r="Z11" s="85" t="s">
        <v>167</v>
      </c>
      <c r="AA11" s="85" t="s">
        <v>167</v>
      </c>
      <c r="AB11" s="85" t="s">
        <v>166</v>
      </c>
    </row>
    <row r="12" spans="1:28" x14ac:dyDescent="0.25">
      <c r="A12" s="85" t="str">
        <f t="shared" si="3"/>
        <v>UKTMP-09</v>
      </c>
      <c r="B12" s="85" t="s">
        <v>158</v>
      </c>
      <c r="C12" s="91" t="s">
        <v>192</v>
      </c>
      <c r="D12" s="85" t="s">
        <v>169</v>
      </c>
      <c r="E12" s="85" t="s">
        <v>193</v>
      </c>
      <c r="G12" s="85">
        <v>5</v>
      </c>
      <c r="H12" s="85">
        <v>1</v>
      </c>
      <c r="I12" s="85">
        <v>1.21</v>
      </c>
      <c r="J12" s="85">
        <v>1</v>
      </c>
      <c r="K12" s="85">
        <f>J12*I12</f>
        <v>1.21</v>
      </c>
      <c r="L12" s="85">
        <f t="shared" si="4"/>
        <v>5.2499999999999991E-2</v>
      </c>
      <c r="M12" s="85">
        <f t="shared" si="5"/>
        <v>0.11549999999999999</v>
      </c>
      <c r="N12" s="85" t="s">
        <v>163</v>
      </c>
      <c r="Q12" s="85" t="s">
        <v>163</v>
      </c>
      <c r="T12" s="85" t="s">
        <v>163</v>
      </c>
      <c r="U12" s="85" t="s">
        <v>164</v>
      </c>
      <c r="V12" s="85" t="s">
        <v>166</v>
      </c>
      <c r="W12" s="85" t="s">
        <v>166</v>
      </c>
      <c r="X12" s="85">
        <f t="shared" si="1"/>
        <v>5.2499999999999991E-2</v>
      </c>
      <c r="Y12" s="85">
        <f t="shared" si="2"/>
        <v>5.7749999999999996E-2</v>
      </c>
      <c r="Z12" s="85" t="s">
        <v>167</v>
      </c>
      <c r="AA12" s="85" t="s">
        <v>167</v>
      </c>
      <c r="AB12" s="85" t="s">
        <v>166</v>
      </c>
    </row>
    <row r="13" spans="1:28" x14ac:dyDescent="0.25">
      <c r="A13" s="85" t="str">
        <f t="shared" si="3"/>
        <v>EcoTi-01</v>
      </c>
      <c r="B13" s="85" t="s">
        <v>194</v>
      </c>
      <c r="C13" s="91" t="s">
        <v>159</v>
      </c>
      <c r="D13" s="85" t="s">
        <v>160</v>
      </c>
      <c r="E13" s="85" t="s">
        <v>195</v>
      </c>
      <c r="F13" s="85" t="s">
        <v>162</v>
      </c>
      <c r="G13" s="85">
        <v>5</v>
      </c>
      <c r="H13" s="85">
        <v>1</v>
      </c>
      <c r="I13" s="85">
        <v>1.21</v>
      </c>
      <c r="J13" s="85">
        <v>1</v>
      </c>
      <c r="K13" s="85">
        <f t="shared" si="0"/>
        <v>1.21</v>
      </c>
      <c r="L13" s="85">
        <f t="shared" si="4"/>
        <v>5.2499999999999991E-2</v>
      </c>
      <c r="M13" s="85">
        <f t="shared" si="5"/>
        <v>0.11549999999999999</v>
      </c>
      <c r="N13" s="85" t="s">
        <v>196</v>
      </c>
      <c r="O13" s="85">
        <v>0.22</v>
      </c>
      <c r="P13" s="85">
        <v>0</v>
      </c>
      <c r="Q13" s="85" t="s">
        <v>196</v>
      </c>
      <c r="R13" s="85">
        <v>0</v>
      </c>
      <c r="S13" s="85">
        <v>0.68</v>
      </c>
      <c r="T13" s="85" t="s">
        <v>196</v>
      </c>
      <c r="U13" s="85" t="s">
        <v>164</v>
      </c>
      <c r="V13" s="85" t="s">
        <v>165</v>
      </c>
      <c r="W13" s="85" t="s">
        <v>129</v>
      </c>
      <c r="X13" s="85">
        <f t="shared" si="1"/>
        <v>0.26149999999999995</v>
      </c>
      <c r="Y13" s="85">
        <f t="shared" si="2"/>
        <v>0.73775000000000002</v>
      </c>
      <c r="Z13" s="85" t="s">
        <v>167</v>
      </c>
      <c r="AA13" s="85" t="s">
        <v>167</v>
      </c>
      <c r="AB13" s="85" t="s">
        <v>196</v>
      </c>
    </row>
    <row r="14" spans="1:28" x14ac:dyDescent="0.25">
      <c r="A14" s="85" t="str">
        <f t="shared" si="3"/>
        <v>EcoTi-02</v>
      </c>
      <c r="B14" s="85" t="s">
        <v>194</v>
      </c>
      <c r="C14" s="91" t="s">
        <v>168</v>
      </c>
      <c r="D14" s="85" t="s">
        <v>175</v>
      </c>
      <c r="E14" s="85" t="s">
        <v>197</v>
      </c>
      <c r="F14" s="85" t="s">
        <v>162</v>
      </c>
      <c r="G14" s="85">
        <v>5</v>
      </c>
      <c r="H14" s="85">
        <v>1</v>
      </c>
      <c r="I14" s="85">
        <v>1.21</v>
      </c>
      <c r="J14" s="85">
        <v>1</v>
      </c>
      <c r="K14" s="85">
        <f t="shared" si="0"/>
        <v>1.21</v>
      </c>
      <c r="L14" s="85">
        <f t="shared" si="4"/>
        <v>5.2499999999999991E-2</v>
      </c>
      <c r="M14" s="85">
        <f t="shared" si="5"/>
        <v>0.11549999999999999</v>
      </c>
      <c r="N14" s="85" t="s">
        <v>196</v>
      </c>
      <c r="O14" s="85">
        <f>0.13*J14</f>
        <v>0.13</v>
      </c>
      <c r="P14" s="85">
        <f>0.036*J14</f>
        <v>3.5999999999999997E-2</v>
      </c>
      <c r="Q14" s="85" t="s">
        <v>196</v>
      </c>
      <c r="R14" s="85">
        <v>0</v>
      </c>
      <c r="S14" s="85">
        <f>0.78*J14*5/6</f>
        <v>0.65</v>
      </c>
      <c r="T14" s="85" t="s">
        <v>196</v>
      </c>
      <c r="U14" s="85" t="s">
        <v>164</v>
      </c>
      <c r="V14" s="85" t="s">
        <v>165</v>
      </c>
      <c r="W14" s="85" t="s">
        <v>129</v>
      </c>
      <c r="X14" s="85">
        <f t="shared" si="1"/>
        <v>0.17599999999999999</v>
      </c>
      <c r="Y14" s="85">
        <f t="shared" si="2"/>
        <v>0.74014999999999997</v>
      </c>
      <c r="Z14" s="85" t="s">
        <v>167</v>
      </c>
      <c r="AA14" s="85" t="s">
        <v>167</v>
      </c>
      <c r="AB14" s="85" t="s">
        <v>196</v>
      </c>
    </row>
    <row r="15" spans="1:28" x14ac:dyDescent="0.25">
      <c r="A15" s="85" t="str">
        <f t="shared" si="3"/>
        <v>EcoTi-03</v>
      </c>
      <c r="B15" s="85" t="s">
        <v>194</v>
      </c>
      <c r="C15" s="91" t="s">
        <v>171</v>
      </c>
      <c r="D15" s="85" t="s">
        <v>178</v>
      </c>
      <c r="E15" s="85" t="s">
        <v>198</v>
      </c>
      <c r="F15" s="85" t="s">
        <v>199</v>
      </c>
      <c r="G15" s="85">
        <v>5</v>
      </c>
      <c r="H15" s="85">
        <v>1</v>
      </c>
      <c r="I15" s="85">
        <v>1.21</v>
      </c>
      <c r="J15" s="85">
        <v>1</v>
      </c>
      <c r="K15" s="85">
        <f t="shared" si="0"/>
        <v>1.21</v>
      </c>
      <c r="L15" s="85">
        <f t="shared" si="4"/>
        <v>5.2499999999999991E-2</v>
      </c>
      <c r="M15" s="85">
        <f t="shared" si="5"/>
        <v>0.11549999999999999</v>
      </c>
      <c r="N15" s="85" t="s">
        <v>196</v>
      </c>
      <c r="O15" s="85">
        <f>0.05*J15</f>
        <v>0.05</v>
      </c>
      <c r="P15" s="85">
        <f>0.4*J15</f>
        <v>0.4</v>
      </c>
      <c r="Q15" s="85" t="s">
        <v>196</v>
      </c>
      <c r="T15" s="85" t="s">
        <v>196</v>
      </c>
      <c r="U15" s="85" t="s">
        <v>164</v>
      </c>
      <c r="V15" s="85" t="s">
        <v>165</v>
      </c>
      <c r="W15" s="85" t="s">
        <v>129</v>
      </c>
      <c r="X15" s="85">
        <f t="shared" si="1"/>
        <v>9.9999999999999992E-2</v>
      </c>
      <c r="Y15" s="85">
        <f t="shared" si="2"/>
        <v>0.41775000000000007</v>
      </c>
      <c r="Z15" s="85" t="s">
        <v>167</v>
      </c>
      <c r="AA15" s="85" t="s">
        <v>167</v>
      </c>
      <c r="AB15" s="85" t="s">
        <v>196</v>
      </c>
    </row>
    <row r="16" spans="1:28" x14ac:dyDescent="0.25">
      <c r="A16" s="85" t="str">
        <f>CONCATENATE(B16,"-",C16)</f>
        <v>EcoTi-09</v>
      </c>
      <c r="B16" s="85" t="s">
        <v>194</v>
      </c>
      <c r="C16" s="91" t="s">
        <v>192</v>
      </c>
      <c r="D16" s="85" t="s">
        <v>178</v>
      </c>
      <c r="E16" s="85" t="s">
        <v>200</v>
      </c>
      <c r="F16" s="85" t="s">
        <v>199</v>
      </c>
      <c r="G16" s="85">
        <v>5</v>
      </c>
      <c r="H16" s="85">
        <v>1</v>
      </c>
      <c r="I16" s="85">
        <v>1.21</v>
      </c>
      <c r="J16" s="85">
        <v>1</v>
      </c>
      <c r="K16" s="85">
        <f>J16*I16</f>
        <v>1.21</v>
      </c>
      <c r="L16" s="85">
        <f t="shared" si="4"/>
        <v>5.2499999999999991E-2</v>
      </c>
      <c r="M16" s="85">
        <f t="shared" si="5"/>
        <v>0.11549999999999999</v>
      </c>
      <c r="N16" s="85" t="s">
        <v>196</v>
      </c>
      <c r="O16" s="85">
        <f>0.05*J16</f>
        <v>0.05</v>
      </c>
      <c r="P16" s="85">
        <f>0.4*J16</f>
        <v>0.4</v>
      </c>
      <c r="Q16" s="85" t="s">
        <v>196</v>
      </c>
      <c r="T16" s="85" t="s">
        <v>196</v>
      </c>
      <c r="U16" s="85" t="s">
        <v>201</v>
      </c>
      <c r="V16" s="85" t="s">
        <v>165</v>
      </c>
      <c r="W16" s="85" t="s">
        <v>129</v>
      </c>
      <c r="X16" s="85">
        <f t="shared" si="1"/>
        <v>9.9999999999999992E-2</v>
      </c>
      <c r="Y16" s="85">
        <f t="shared" si="2"/>
        <v>0.41775000000000007</v>
      </c>
      <c r="Z16" s="85" t="s">
        <v>167</v>
      </c>
      <c r="AA16" s="85" t="s">
        <v>167</v>
      </c>
      <c r="AB16" s="85" t="s">
        <v>196</v>
      </c>
    </row>
    <row r="17" spans="1:28" x14ac:dyDescent="0.25">
      <c r="A17" s="85" t="str">
        <f t="shared" si="3"/>
        <v>EcoTi-04</v>
      </c>
      <c r="B17" s="85" t="s">
        <v>194</v>
      </c>
      <c r="C17" s="91" t="s">
        <v>174</v>
      </c>
      <c r="D17" s="85" t="s">
        <v>181</v>
      </c>
      <c r="E17" s="85" t="s">
        <v>202</v>
      </c>
      <c r="F17" s="85" t="s">
        <v>183</v>
      </c>
      <c r="G17" s="85">
        <v>5</v>
      </c>
      <c r="H17" s="85">
        <v>1</v>
      </c>
      <c r="I17" s="85">
        <v>1.411</v>
      </c>
      <c r="J17" s="85">
        <v>1</v>
      </c>
      <c r="K17" s="85">
        <f t="shared" si="0"/>
        <v>1.411</v>
      </c>
      <c r="L17" s="85">
        <v>5.2499999999999998E-2</v>
      </c>
      <c r="N17" s="85" t="s">
        <v>196</v>
      </c>
      <c r="O17" s="85">
        <v>6.25E-2</v>
      </c>
      <c r="P17" s="85">
        <v>0.218</v>
      </c>
      <c r="Q17" s="85" t="s">
        <v>196</v>
      </c>
      <c r="T17" s="85" t="s">
        <v>196</v>
      </c>
      <c r="U17" s="85" t="s">
        <v>164</v>
      </c>
      <c r="V17" s="85" t="s">
        <v>184</v>
      </c>
      <c r="W17" s="85" t="s">
        <v>129</v>
      </c>
      <c r="X17" s="85">
        <f t="shared" si="1"/>
        <v>0.10875</v>
      </c>
      <c r="Y17" s="85">
        <f t="shared" si="2"/>
        <v>0</v>
      </c>
      <c r="Z17" s="85" t="s">
        <v>167</v>
      </c>
      <c r="AA17" s="85" t="s">
        <v>167</v>
      </c>
      <c r="AB17" s="85" t="s">
        <v>196</v>
      </c>
    </row>
    <row r="18" spans="1:28" x14ac:dyDescent="0.25">
      <c r="A18" s="85" t="str">
        <f t="shared" si="3"/>
        <v>EcoTi-05</v>
      </c>
      <c r="B18" s="85" t="s">
        <v>194</v>
      </c>
      <c r="C18" s="91" t="s">
        <v>177</v>
      </c>
      <c r="D18" s="85" t="s">
        <v>203</v>
      </c>
      <c r="E18" s="85" t="s">
        <v>204</v>
      </c>
      <c r="F18" s="85" t="s">
        <v>183</v>
      </c>
      <c r="G18" s="85">
        <v>5</v>
      </c>
      <c r="H18" s="85">
        <v>1</v>
      </c>
      <c r="I18" s="85">
        <v>1.1599999999999999</v>
      </c>
      <c r="J18" s="85">
        <v>1</v>
      </c>
      <c r="K18" s="85">
        <f t="shared" si="0"/>
        <v>1.1599999999999999</v>
      </c>
      <c r="L18" s="85">
        <v>5.2499999999999998E-2</v>
      </c>
      <c r="M18" s="85">
        <v>0</v>
      </c>
      <c r="N18" s="85" t="s">
        <v>196</v>
      </c>
      <c r="O18" s="85">
        <v>6.25E-2</v>
      </c>
      <c r="P18" s="85">
        <v>0.218</v>
      </c>
      <c r="Q18" s="85" t="s">
        <v>196</v>
      </c>
      <c r="R18" s="85">
        <v>0.08</v>
      </c>
      <c r="S18" s="85">
        <v>0</v>
      </c>
      <c r="T18" s="85" t="s">
        <v>196</v>
      </c>
      <c r="U18" s="85" t="s">
        <v>164</v>
      </c>
      <c r="V18" s="85" t="s">
        <v>205</v>
      </c>
      <c r="W18" s="85" t="s">
        <v>129</v>
      </c>
      <c r="X18" s="85">
        <f t="shared" si="1"/>
        <v>0.18875</v>
      </c>
      <c r="Y18" s="85">
        <f t="shared" si="2"/>
        <v>0</v>
      </c>
      <c r="Z18" s="85" t="s">
        <v>167</v>
      </c>
      <c r="AA18" s="85" t="s">
        <v>167</v>
      </c>
      <c r="AB18" s="85" t="s">
        <v>196</v>
      </c>
    </row>
    <row r="19" spans="1:28" x14ac:dyDescent="0.25">
      <c r="A19" s="85" t="str">
        <f t="shared" si="3"/>
        <v>EcoTi-06</v>
      </c>
      <c r="B19" s="85" t="s">
        <v>194</v>
      </c>
      <c r="C19" s="91" t="s">
        <v>180</v>
      </c>
      <c r="D19" s="85" t="s">
        <v>186</v>
      </c>
      <c r="E19" s="85" t="s">
        <v>206</v>
      </c>
      <c r="F19" s="85" t="s">
        <v>183</v>
      </c>
      <c r="G19" s="85">
        <v>23</v>
      </c>
      <c r="H19" s="85">
        <v>1</v>
      </c>
      <c r="I19" s="85">
        <v>1.411</v>
      </c>
      <c r="J19" s="85">
        <v>1</v>
      </c>
      <c r="K19" s="85">
        <f t="shared" si="0"/>
        <v>1.411</v>
      </c>
      <c r="L19" s="85">
        <v>5.2499999999999998E-2</v>
      </c>
      <c r="M19" s="85">
        <v>0</v>
      </c>
      <c r="N19" s="85" t="s">
        <v>196</v>
      </c>
      <c r="O19" s="85">
        <v>6.25E-2</v>
      </c>
      <c r="P19" s="85">
        <v>0.218</v>
      </c>
      <c r="Q19" s="85" t="s">
        <v>196</v>
      </c>
      <c r="T19" s="85" t="s">
        <v>196</v>
      </c>
      <c r="U19" s="85" t="s">
        <v>164</v>
      </c>
      <c r="V19" s="85" t="s">
        <v>184</v>
      </c>
      <c r="W19" s="85" t="s">
        <v>129</v>
      </c>
      <c r="X19" s="85">
        <f t="shared" si="1"/>
        <v>0.10875</v>
      </c>
      <c r="Y19" s="85">
        <f t="shared" si="2"/>
        <v>0</v>
      </c>
      <c r="Z19" s="85" t="s">
        <v>167</v>
      </c>
      <c r="AA19" s="85" t="s">
        <v>167</v>
      </c>
      <c r="AB19" s="85" t="s">
        <v>196</v>
      </c>
    </row>
    <row r="20" spans="1:28" x14ac:dyDescent="0.25">
      <c r="A20" s="85" t="str">
        <f t="shared" si="3"/>
        <v>EcoTi-07</v>
      </c>
      <c r="B20" s="85" t="s">
        <v>194</v>
      </c>
      <c r="C20" s="91" t="s">
        <v>185</v>
      </c>
      <c r="D20" s="85" t="s">
        <v>207</v>
      </c>
      <c r="E20" s="85" t="s">
        <v>208</v>
      </c>
      <c r="G20" s="85">
        <v>5</v>
      </c>
      <c r="H20" s="85">
        <v>1</v>
      </c>
      <c r="I20" s="85">
        <v>1.21</v>
      </c>
      <c r="J20" s="85">
        <v>1</v>
      </c>
      <c r="K20" s="85">
        <f t="shared" si="0"/>
        <v>1.21</v>
      </c>
      <c r="L20" s="85">
        <f>(K20-J20)*0.25</f>
        <v>5.2499999999999991E-2</v>
      </c>
      <c r="M20" s="85">
        <f>(K20-J20)*0.55</f>
        <v>0.11549999999999999</v>
      </c>
      <c r="N20" s="85" t="s">
        <v>196</v>
      </c>
      <c r="Q20" s="85" t="s">
        <v>196</v>
      </c>
      <c r="T20" s="85" t="s">
        <v>196</v>
      </c>
      <c r="U20" s="85" t="s">
        <v>164</v>
      </c>
      <c r="V20" s="85" t="s">
        <v>166</v>
      </c>
      <c r="W20" s="85" t="s">
        <v>166</v>
      </c>
      <c r="X20" s="85">
        <f t="shared" si="1"/>
        <v>5.2499999999999991E-2</v>
      </c>
      <c r="Y20" s="85">
        <f t="shared" si="2"/>
        <v>5.7749999999999996E-2</v>
      </c>
      <c r="Z20" s="85" t="s">
        <v>167</v>
      </c>
      <c r="AA20" s="85" t="s">
        <v>167</v>
      </c>
      <c r="AB20" s="85" t="s">
        <v>209</v>
      </c>
    </row>
    <row r="21" spans="1:28" x14ac:dyDescent="0.25">
      <c r="A21" s="85" t="str">
        <f t="shared" si="3"/>
        <v>EcoTi-10</v>
      </c>
      <c r="B21" s="85" t="s">
        <v>194</v>
      </c>
      <c r="C21" s="91" t="s">
        <v>210</v>
      </c>
      <c r="D21" s="85" t="s">
        <v>160</v>
      </c>
      <c r="E21" s="85" t="s">
        <v>211</v>
      </c>
      <c r="F21" s="85" t="s">
        <v>162</v>
      </c>
      <c r="G21" s="85">
        <v>5</v>
      </c>
      <c r="H21" s="85">
        <v>1</v>
      </c>
      <c r="I21" s="85">
        <v>1.21</v>
      </c>
      <c r="J21" s="85">
        <v>1</v>
      </c>
      <c r="K21" s="92">
        <f>172.5/158</f>
        <v>1.0917721518987342</v>
      </c>
      <c r="L21" s="85">
        <v>6.4000000000000001E-2</v>
      </c>
      <c r="M21" s="85">
        <v>0</v>
      </c>
      <c r="N21" s="85" t="s">
        <v>196</v>
      </c>
      <c r="O21" s="85">
        <v>3.1600000000000003E-2</v>
      </c>
      <c r="P21" s="85">
        <v>0.66449999999999998</v>
      </c>
      <c r="Q21" s="85" t="s">
        <v>196</v>
      </c>
      <c r="R21" s="85">
        <v>0</v>
      </c>
      <c r="S21" s="85">
        <v>0.16450000000000001</v>
      </c>
      <c r="T21" s="85" t="s">
        <v>196</v>
      </c>
      <c r="U21" s="85" t="s">
        <v>164</v>
      </c>
      <c r="V21" s="85" t="s">
        <v>165</v>
      </c>
      <c r="W21" s="85" t="s">
        <v>129</v>
      </c>
      <c r="X21" s="85">
        <f t="shared" ref="X21" si="6">VLOOKUP("UKAD",recupchute,2,FALSE)*L21+VLOOKUP(V21,recupchute,2,FALSE)*O21+VLOOKUP(W21,recupchute,2,FALSE)*R21</f>
        <v>9.4020000000000006E-2</v>
      </c>
      <c r="Y21" s="85">
        <f t="shared" ref="Y21" si="7">VLOOKUP("UKAD",recupchute,3,FALSE)*M21+VLOOKUP(V21,recupchute,3,FALSE)*P21+VLOOKUP(W21,recupchute,3,FALSE)*S21</f>
        <v>0.76254999999999995</v>
      </c>
      <c r="Z21" s="85" t="s">
        <v>167</v>
      </c>
      <c r="AA21" s="85" t="s">
        <v>167</v>
      </c>
      <c r="AB21" s="85" t="s">
        <v>196</v>
      </c>
    </row>
    <row r="22" spans="1:28" x14ac:dyDescent="0.25">
      <c r="A22" s="93" t="str">
        <f t="shared" si="3"/>
        <v>EcoTi-08</v>
      </c>
      <c r="B22" s="93" t="s">
        <v>194</v>
      </c>
      <c r="C22" s="91" t="s">
        <v>188</v>
      </c>
      <c r="D22" s="85" t="s">
        <v>212</v>
      </c>
      <c r="E22" s="85" t="s">
        <v>213</v>
      </c>
      <c r="F22" s="85" t="s">
        <v>183</v>
      </c>
      <c r="G22" s="85">
        <v>5</v>
      </c>
      <c r="H22" s="85">
        <v>1</v>
      </c>
      <c r="I22" s="85">
        <v>1.21</v>
      </c>
      <c r="J22" s="85">
        <v>1</v>
      </c>
      <c r="K22" s="85">
        <f t="shared" si="0"/>
        <v>1.21</v>
      </c>
      <c r="L22" s="85">
        <f>(K22-J22)*0.25</f>
        <v>5.2499999999999991E-2</v>
      </c>
      <c r="M22" s="85">
        <f>(K22-J22)*0.55</f>
        <v>0.11549999999999999</v>
      </c>
      <c r="N22" s="85" t="s">
        <v>196</v>
      </c>
      <c r="Q22" s="85" t="s">
        <v>196</v>
      </c>
      <c r="T22" s="85" t="s">
        <v>196</v>
      </c>
      <c r="U22" s="85" t="s">
        <v>164</v>
      </c>
      <c r="V22" s="85" t="s">
        <v>184</v>
      </c>
      <c r="W22" s="85" t="s">
        <v>129</v>
      </c>
      <c r="X22" s="85">
        <f t="shared" si="1"/>
        <v>5.2499999999999991E-2</v>
      </c>
      <c r="Y22" s="85">
        <f t="shared" si="2"/>
        <v>5.7749999999999996E-2</v>
      </c>
      <c r="Z22" s="85" t="s">
        <v>167</v>
      </c>
      <c r="AA22" s="85" t="s">
        <v>167</v>
      </c>
      <c r="AB22" s="85" t="s">
        <v>196</v>
      </c>
    </row>
  </sheetData>
  <autoFilter ref="A3:AB22"/>
  <mergeCells count="3">
    <mergeCell ref="L2:N2"/>
    <mergeCell ref="O2:Q2"/>
    <mergeCell ref="R2:T2"/>
  </mergeCells>
  <pageMargins left="0.25" right="0.25" top="0.75" bottom="0.75" header="0.3" footer="0.3"/>
  <pageSetup paperSize="8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41</vt:i4>
      </vt:variant>
    </vt:vector>
  </HeadingPairs>
  <TitlesOfParts>
    <vt:vector size="47" baseType="lpstr">
      <vt:lpstr>Paramètres</vt:lpstr>
      <vt:lpstr>Matières</vt:lpstr>
      <vt:lpstr>Calcul Devis 100% Chutes</vt:lpstr>
      <vt:lpstr>Calcul Devis Chutes EC + Lgt Sp</vt:lpstr>
      <vt:lpstr>Schéma Flux Fi</vt:lpstr>
      <vt:lpstr>Marchés et Chutes</vt:lpstr>
      <vt:lpstr>cdfusion</vt:lpstr>
      <vt:lpstr>'Calcul Devis Chutes EC + Lgt Sp'!chuferro</vt:lpstr>
      <vt:lpstr>chuferro</vt:lpstr>
      <vt:lpstr>'Calcul Devis Chutes EC + Lgt Sp'!copeau</vt:lpstr>
      <vt:lpstr>copeau</vt:lpstr>
      <vt:lpstr>descmarche</vt:lpstr>
      <vt:lpstr>eurodol</vt:lpstr>
      <vt:lpstr>fgxfusion</vt:lpstr>
      <vt:lpstr>krecup</vt:lpstr>
      <vt:lpstr>'Calcul Devis Chutes EC + Lgt Sp'!massif</vt:lpstr>
      <vt:lpstr>massif</vt:lpstr>
      <vt:lpstr>parite</vt:lpstr>
      <vt:lpstr>partepongex</vt:lpstr>
      <vt:lpstr>PCopeaux</vt:lpstr>
      <vt:lpstr>perteecroutage</vt:lpstr>
      <vt:lpstr>pertegalette</vt:lpstr>
      <vt:lpstr>Pmassifs</vt:lpstr>
      <vt:lpstr>pxeponge</vt:lpstr>
      <vt:lpstr>pxmarcopeau</vt:lpstr>
      <vt:lpstr>pxmarferroti</vt:lpstr>
      <vt:lpstr>pxmarlingot</vt:lpstr>
      <vt:lpstr>pxmarmassif</vt:lpstr>
      <vt:lpstr>pxmasteral</vt:lpstr>
      <vt:lpstr>pxnegcopeau</vt:lpstr>
      <vt:lpstr>pxnegmassif</vt:lpstr>
      <vt:lpstr>pxrccopeau</vt:lpstr>
      <vt:lpstr>pxrciacopeau</vt:lpstr>
      <vt:lpstr>pxrciamassif</vt:lpstr>
      <vt:lpstr>pxrcmassif</vt:lpstr>
      <vt:lpstr>Rdtcopeaux</vt:lpstr>
      <vt:lpstr>Rdtmassifs</vt:lpstr>
      <vt:lpstr>ruplasma</vt:lpstr>
      <vt:lpstr>ruvar</vt:lpstr>
      <vt:lpstr>Tacopeaux</vt:lpstr>
      <vt:lpstr>Tamassifs</vt:lpstr>
      <vt:lpstr>'Calcul Devis Chutes EC + Lgt Sp'!tcopeaux</vt:lpstr>
      <vt:lpstr>tcopeaux</vt:lpstr>
      <vt:lpstr>'Calcul Devis Chutes EC + Lgt Sp'!tmassifs</vt:lpstr>
      <vt:lpstr>tmassifs</vt:lpstr>
      <vt:lpstr>Trcopeaux</vt:lpstr>
      <vt:lpstr>Trmassifs</vt:lpstr>
    </vt:vector>
  </TitlesOfParts>
  <Company>Aubert &amp; Duval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 Delaborde</dc:creator>
  <cp:lastModifiedBy>Patrick Delaborde</cp:lastModifiedBy>
  <cp:lastPrinted>2012-10-05T13:38:05Z</cp:lastPrinted>
  <dcterms:created xsi:type="dcterms:W3CDTF">2012-10-05T06:05:43Z</dcterms:created>
  <dcterms:modified xsi:type="dcterms:W3CDTF">2014-10-14T15:30:47Z</dcterms:modified>
</cp:coreProperties>
</file>