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9320" windowHeight="11070" activeTab="1"/>
  </bookViews>
  <sheets>
    <sheet name="Paramètres" sheetId="3" r:id="rId1"/>
    <sheet name="Estimation Lingot 2 VAR" sheetId="7" r:id="rId2"/>
    <sheet name="Matières" sheetId="5" r:id="rId3"/>
    <sheet name="Calcul Devis 100% Chutes" sheetId="4" r:id="rId4"/>
    <sheet name="Calcul Devis Chutes EC + Lgt Sp" sheetId="6" r:id="rId5"/>
    <sheet name="Schéma Flux Fi" sheetId="2" r:id="rId6"/>
  </sheets>
  <definedNames>
    <definedName name="cdfusion">Paramètres!$I$19</definedName>
    <definedName name="chuferro" localSheetId="4">'Calcul Devis Chutes EC + Lgt Sp'!$B$44</definedName>
    <definedName name="chuferro">'Calcul Devis 100% Chutes'!$B$44</definedName>
    <definedName name="copeau" localSheetId="4">'Calcul Devis Chutes EC + Lgt Sp'!$B$43</definedName>
    <definedName name="copeau">'Calcul Devis 100% Chutes'!$B$43</definedName>
    <definedName name="eurodol">'Schéma Flux Fi'!$B$2</definedName>
    <definedName name="fgxfusion">Paramètres!$I$20</definedName>
    <definedName name="krecup">Paramètres!$E$15</definedName>
    <definedName name="massif" localSheetId="4">'Calcul Devis Chutes EC + Lgt Sp'!$B$42</definedName>
    <definedName name="massif">'Calcul Devis 100% Chutes'!$B$42</definedName>
    <definedName name="parite">Paramètres!$I$4</definedName>
    <definedName name="partepongex">Paramètres!$L$6</definedName>
    <definedName name="PCopeaux">Paramètres!$E$4</definedName>
    <definedName name="perteecroutage">Paramètres!$I$24</definedName>
    <definedName name="pertegalette">Paramètres!$I$23</definedName>
    <definedName name="Pmassifs">Paramètres!$E$5</definedName>
    <definedName name="pxeponge">Paramètres!$L$4</definedName>
    <definedName name="pxmarcopeau">Paramètres!$C$21</definedName>
    <definedName name="pxmarferroti">Paramètres!$C$22</definedName>
    <definedName name="pxmarlingot">Paramètres!$C$19</definedName>
    <definedName name="pxmarmassif">Paramètres!$C$20</definedName>
    <definedName name="pxmasteral">Paramètres!$L$13</definedName>
    <definedName name="pxnegcopeau">Paramètres!$C$34</definedName>
    <definedName name="pxnegmassif">Paramètres!$C$33</definedName>
    <definedName name="pxrccopeau">Paramètres!$C$26</definedName>
    <definedName name="pxrciacopeau">Paramètres!$C$30</definedName>
    <definedName name="pxrciamassif">Paramètres!$C$29</definedName>
    <definedName name="pxrcmassif">Paramètres!$C$25</definedName>
    <definedName name="qteproduite">'Estimation Lingot 2 VAR'!$B$1</definedName>
    <definedName name="Rdtcopeaux">Paramètres!$E$13</definedName>
    <definedName name="Rdtmassifs">Paramètres!$E$12</definedName>
    <definedName name="ruplasma">Paramètres!$I$21</definedName>
    <definedName name="ruvar">Paramètres!$I$22</definedName>
    <definedName name="Tacopeaux">Paramètres!$E$7</definedName>
    <definedName name="Tamassifs">Paramètres!$E$8</definedName>
    <definedName name="tcopeaux" localSheetId="4">'Calcul Devis Chutes EC + Lgt Sp'!$B$9</definedName>
    <definedName name="tcopeaux">'Calcul Devis 100% Chutes'!$B$9</definedName>
    <definedName name="tmassifs" localSheetId="4">'Calcul Devis Chutes EC + Lgt Sp'!$B$8</definedName>
    <definedName name="tmassifs">'Calcul Devis 100% Chutes'!$B$8</definedName>
    <definedName name="Trcopeaux">Paramètres!$E$9</definedName>
    <definedName name="Trmassifs">Paramètres!$E$10</definedName>
  </definedNames>
  <calcPr calcId="145621"/>
</workbook>
</file>

<file path=xl/calcChain.xml><?xml version="1.0" encoding="utf-8"?>
<calcChain xmlns="http://schemas.openxmlformats.org/spreadsheetml/2006/main">
  <c r="L4" i="3" l="1"/>
  <c r="D18" i="7" s="1"/>
  <c r="B17" i="7" l="1"/>
  <c r="D10" i="7"/>
  <c r="B13" i="7"/>
  <c r="D5" i="7"/>
  <c r="D3" i="7"/>
  <c r="D4" i="7"/>
  <c r="B8" i="7"/>
  <c r="B7" i="7"/>
  <c r="B5" i="7"/>
  <c r="B4" i="7"/>
  <c r="B3" i="7"/>
  <c r="L11" i="5" l="1"/>
  <c r="B9" i="6"/>
  <c r="G9" i="6" s="1"/>
  <c r="B36" i="5"/>
  <c r="N54" i="6"/>
  <c r="L54" i="6"/>
  <c r="G52" i="6"/>
  <c r="N51" i="6"/>
  <c r="L51" i="6"/>
  <c r="G51" i="6"/>
  <c r="N50" i="6"/>
  <c r="L50" i="6"/>
  <c r="G50" i="6"/>
  <c r="G49" i="6"/>
  <c r="G48" i="6"/>
  <c r="G47" i="6"/>
  <c r="I33" i="6"/>
  <c r="I32" i="6"/>
  <c r="I31" i="6"/>
  <c r="I30" i="6"/>
  <c r="I29" i="6"/>
  <c r="I28" i="6"/>
  <c r="AG25" i="6"/>
  <c r="AF23" i="6"/>
  <c r="AG23" i="6" s="1"/>
  <c r="Y18" i="6"/>
  <c r="O14" i="6"/>
  <c r="L12" i="6"/>
  <c r="F9" i="6"/>
  <c r="F8" i="6"/>
  <c r="H9" i="6" l="1"/>
  <c r="K9" i="6"/>
  <c r="B23" i="5" l="1"/>
  <c r="B17" i="5"/>
  <c r="B11" i="5"/>
  <c r="B5" i="5"/>
  <c r="C16" i="5" l="1"/>
  <c r="C15" i="5"/>
  <c r="C10" i="5"/>
  <c r="C9" i="5"/>
  <c r="C4" i="5"/>
  <c r="C3" i="5"/>
  <c r="C22" i="5"/>
  <c r="C21" i="5"/>
  <c r="AF23" i="4" l="1"/>
  <c r="I20" i="3" l="1"/>
  <c r="I19" i="3"/>
  <c r="Y18" i="4"/>
  <c r="M17" i="3"/>
  <c r="L17" i="3" s="1"/>
  <c r="N15" i="3"/>
  <c r="O14" i="4"/>
  <c r="N17" i="3" l="1"/>
  <c r="L16" i="3"/>
  <c r="L12" i="4"/>
  <c r="D16" i="5"/>
  <c r="D15" i="5"/>
  <c r="D10" i="5"/>
  <c r="D9" i="5"/>
  <c r="D11" i="5" s="1"/>
  <c r="D4" i="5"/>
  <c r="D3" i="5"/>
  <c r="D22" i="5"/>
  <c r="D21" i="5"/>
  <c r="B29" i="5"/>
  <c r="B28" i="5"/>
  <c r="B35" i="5" s="1"/>
  <c r="I33" i="4"/>
  <c r="I32" i="4"/>
  <c r="I31" i="4"/>
  <c r="I30" i="4"/>
  <c r="I29" i="4"/>
  <c r="I28" i="4"/>
  <c r="D23" i="5" l="1"/>
  <c r="B37" i="5"/>
  <c r="B10" i="6" s="1"/>
  <c r="B8" i="6"/>
  <c r="D17" i="5"/>
  <c r="D5" i="5"/>
  <c r="B9" i="4"/>
  <c r="B30" i="5"/>
  <c r="C28" i="5" s="1"/>
  <c r="N16" i="3"/>
  <c r="L13" i="3"/>
  <c r="B14" i="7" s="1"/>
  <c r="B15" i="7" s="1"/>
  <c r="B19" i="7" s="1"/>
  <c r="D19" i="7" s="1"/>
  <c r="D29" i="5"/>
  <c r="D36" i="5" s="1"/>
  <c r="C9" i="6" s="1"/>
  <c r="B8" i="4"/>
  <c r="D28" i="5"/>
  <c r="D35" i="5" s="1"/>
  <c r="D21" i="7" l="1"/>
  <c r="D22" i="7"/>
  <c r="G8" i="6"/>
  <c r="K8" i="6"/>
  <c r="K10" i="6" s="1"/>
  <c r="D37" i="5"/>
  <c r="C10" i="6" s="1"/>
  <c r="C8" i="6"/>
  <c r="C9" i="4"/>
  <c r="D30" i="5"/>
  <c r="B10" i="4"/>
  <c r="C29" i="5"/>
  <c r="C8" i="4"/>
  <c r="K14" i="6" l="1"/>
  <c r="L14" i="6" s="1"/>
  <c r="L10" i="6"/>
  <c r="H8" i="6"/>
  <c r="H10" i="6" s="1"/>
  <c r="G10" i="6"/>
  <c r="C10" i="4"/>
  <c r="F9" i="4"/>
  <c r="F8" i="4"/>
  <c r="O12" i="6" l="1"/>
  <c r="AC18" i="6" s="1"/>
  <c r="AD10" i="6"/>
  <c r="H25" i="6" s="1"/>
  <c r="J47" i="6" s="1"/>
  <c r="G9" i="4"/>
  <c r="N47" i="6" l="1"/>
  <c r="L47" i="6"/>
  <c r="L10" i="5"/>
  <c r="V8" i="6"/>
  <c r="V25" i="6" s="1"/>
  <c r="AD18" i="6"/>
  <c r="S8" i="6"/>
  <c r="AD8" i="6"/>
  <c r="C25" i="6"/>
  <c r="L25" i="6"/>
  <c r="Z8" i="6"/>
  <c r="O10" i="6"/>
  <c r="P10" i="6" s="1"/>
  <c r="O8" i="6"/>
  <c r="P8" i="6" s="1"/>
  <c r="P25" i="6" s="1"/>
  <c r="H49" i="6" s="1"/>
  <c r="H9" i="4"/>
  <c r="K9" i="4"/>
  <c r="G8" i="4"/>
  <c r="N54" i="4"/>
  <c r="L54" i="4"/>
  <c r="N50" i="4"/>
  <c r="N51" i="4"/>
  <c r="L50" i="4"/>
  <c r="L51" i="4"/>
  <c r="G52" i="4"/>
  <c r="G51" i="4"/>
  <c r="G50" i="4"/>
  <c r="G49" i="4"/>
  <c r="G48" i="4"/>
  <c r="G47" i="4"/>
  <c r="N49" i="6" l="1"/>
  <c r="L49" i="6"/>
  <c r="H46" i="6"/>
  <c r="S2" i="6"/>
  <c r="S25" i="6"/>
  <c r="AD23" i="6" s="1"/>
  <c r="P12" i="6"/>
  <c r="Y9" i="6"/>
  <c r="Z9" i="6" s="1"/>
  <c r="Y10" i="6" s="1"/>
  <c r="Z10" i="6" s="1"/>
  <c r="Y11" i="6" s="1"/>
  <c r="Z11" i="6" s="1"/>
  <c r="H48" i="6"/>
  <c r="H8" i="4"/>
  <c r="K8" i="4"/>
  <c r="G10" i="4"/>
  <c r="C24" i="2"/>
  <c r="C25" i="2"/>
  <c r="D24" i="2"/>
  <c r="E24" i="2"/>
  <c r="F24" i="2"/>
  <c r="G24" i="2"/>
  <c r="H24" i="2"/>
  <c r="I24" i="2"/>
  <c r="J24" i="2"/>
  <c r="K24" i="2"/>
  <c r="L24" i="2"/>
  <c r="M24" i="2"/>
  <c r="N24" i="2"/>
  <c r="O24" i="2"/>
  <c r="B24" i="2"/>
  <c r="B26" i="2"/>
  <c r="B19" i="2"/>
  <c r="B13" i="2"/>
  <c r="H15" i="2"/>
  <c r="D15" i="2"/>
  <c r="H9" i="2"/>
  <c r="D9" i="2"/>
  <c r="L9" i="2" s="1"/>
  <c r="Y12" i="6" l="1"/>
  <c r="Z12" i="6"/>
  <c r="AD12" i="6"/>
  <c r="N48" i="6"/>
  <c r="L48" i="6"/>
  <c r="L46" i="6"/>
  <c r="N46" i="6"/>
  <c r="O12" i="4"/>
  <c r="Z8" i="4" s="1"/>
  <c r="Y9" i="4" s="1"/>
  <c r="Z9" i="4" s="1"/>
  <c r="Y10" i="4" s="1"/>
  <c r="H10" i="4"/>
  <c r="K10" i="4"/>
  <c r="K14" i="4" s="1"/>
  <c r="L14" i="4" s="1"/>
  <c r="C11" i="2"/>
  <c r="C12" i="2" s="1"/>
  <c r="C13" i="2" s="1"/>
  <c r="L11" i="2"/>
  <c r="I14" i="2"/>
  <c r="C26" i="2"/>
  <c r="D25" i="2"/>
  <c r="I11" i="2"/>
  <c r="M11" i="2"/>
  <c r="D11" i="2"/>
  <c r="F11" i="2"/>
  <c r="J11" i="2"/>
  <c r="N11" i="2"/>
  <c r="E11" i="2"/>
  <c r="G11" i="2"/>
  <c r="K11" i="2"/>
  <c r="O11" i="2"/>
  <c r="H11" i="2"/>
  <c r="B11" i="2"/>
  <c r="H22" i="2"/>
  <c r="I27" i="2" s="1"/>
  <c r="L15" i="2"/>
  <c r="I20" i="2" s="1"/>
  <c r="Y13" i="6" l="1"/>
  <c r="Y17" i="6" s="1"/>
  <c r="Y19" i="6" s="1"/>
  <c r="AA19" i="6" s="1"/>
  <c r="AA25" i="6" s="1"/>
  <c r="Z13" i="6"/>
  <c r="L9" i="5"/>
  <c r="Z10" i="4"/>
  <c r="Y11" i="4" s="1"/>
  <c r="Z11" i="4" s="1"/>
  <c r="Y12" i="4" s="1"/>
  <c r="Z12" i="4" s="1"/>
  <c r="Y13" i="4" s="1"/>
  <c r="Z13" i="4" s="1"/>
  <c r="AD10" i="4"/>
  <c r="L5" i="5" s="1"/>
  <c r="L12" i="5" s="1"/>
  <c r="L14" i="5" s="1"/>
  <c r="O8" i="4"/>
  <c r="P8" i="4" s="1"/>
  <c r="O10" i="4"/>
  <c r="P10" i="4" s="1"/>
  <c r="AC18" i="4"/>
  <c r="L10" i="4"/>
  <c r="D12" i="2"/>
  <c r="D13" i="2" s="1"/>
  <c r="D26" i="2"/>
  <c r="E25" i="2"/>
  <c r="E17" i="2"/>
  <c r="I17" i="2"/>
  <c r="M17" i="2"/>
  <c r="F17" i="2"/>
  <c r="J17" i="2"/>
  <c r="N17" i="2"/>
  <c r="C17" i="2"/>
  <c r="C18" i="2" s="1"/>
  <c r="C19" i="2" s="1"/>
  <c r="G17" i="2"/>
  <c r="K17" i="2"/>
  <c r="O17" i="2"/>
  <c r="D17" i="2"/>
  <c r="D18" i="2" s="1"/>
  <c r="D19" i="2" s="1"/>
  <c r="H17" i="2"/>
  <c r="L17" i="2"/>
  <c r="B17" i="2"/>
  <c r="L13" i="5" l="1"/>
  <c r="H52" i="6"/>
  <c r="AD24" i="6"/>
  <c r="AD25" i="6" s="1"/>
  <c r="AD14" i="6"/>
  <c r="AD20" i="6" s="1"/>
  <c r="Y17" i="4"/>
  <c r="Y19" i="4" s="1"/>
  <c r="AA19" i="4" s="1"/>
  <c r="AA25" i="4" s="1"/>
  <c r="H52" i="4" s="1"/>
  <c r="N52" i="4" s="1"/>
  <c r="C25" i="4"/>
  <c r="H46" i="4" s="1"/>
  <c r="N46" i="4" s="1"/>
  <c r="AD8" i="4"/>
  <c r="V8" i="4"/>
  <c r="V25" i="4" s="1"/>
  <c r="S8" i="4"/>
  <c r="S25" i="4" s="1"/>
  <c r="H25" i="4"/>
  <c r="L25" i="4"/>
  <c r="P25" i="4"/>
  <c r="H49" i="4" s="1"/>
  <c r="N49" i="4" s="1"/>
  <c r="AD18" i="4"/>
  <c r="P12" i="4"/>
  <c r="E12" i="2"/>
  <c r="E18" i="2"/>
  <c r="E19" i="2" s="1"/>
  <c r="E26" i="2"/>
  <c r="F25" i="2"/>
  <c r="L52" i="6" l="1"/>
  <c r="N52" i="6"/>
  <c r="H48" i="4"/>
  <c r="L48" i="4" s="1"/>
  <c r="AD24" i="4"/>
  <c r="J47" i="4"/>
  <c r="N47" i="4" s="1"/>
  <c r="AD23" i="4"/>
  <c r="AD12" i="4" s="1"/>
  <c r="S2" i="4"/>
  <c r="L52" i="4"/>
  <c r="AD14" i="4"/>
  <c r="L49" i="4"/>
  <c r="L46" i="4"/>
  <c r="E13" i="2"/>
  <c r="F12" i="2"/>
  <c r="G25" i="2"/>
  <c r="F26" i="2"/>
  <c r="F18" i="2"/>
  <c r="N55" i="6" l="1"/>
  <c r="N56" i="6"/>
  <c r="L55" i="6"/>
  <c r="L56" i="6"/>
  <c r="N48" i="4"/>
  <c r="N56" i="4" s="1"/>
  <c r="N57" i="4" s="1"/>
  <c r="AG23" i="4"/>
  <c r="AD25" i="4"/>
  <c r="L47" i="4"/>
  <c r="L56" i="4" s="1"/>
  <c r="L58" i="4" s="1"/>
  <c r="F13" i="2"/>
  <c r="G12" i="2"/>
  <c r="H25" i="2"/>
  <c r="G26" i="2"/>
  <c r="F19" i="2"/>
  <c r="G18" i="2"/>
  <c r="L57" i="6" l="1"/>
  <c r="L58" i="6"/>
  <c r="N58" i="6"/>
  <c r="O58" i="6" s="1"/>
  <c r="N57" i="6"/>
  <c r="O57" i="6" s="1"/>
  <c r="L4" i="5"/>
  <c r="AD20" i="4"/>
  <c r="N55" i="4"/>
  <c r="O57" i="4" s="1"/>
  <c r="AG25" i="4"/>
  <c r="N58" i="4"/>
  <c r="L55" i="4"/>
  <c r="L57" i="4"/>
  <c r="G13" i="2"/>
  <c r="H12" i="2"/>
  <c r="G19" i="2"/>
  <c r="H18" i="2"/>
  <c r="H26" i="2"/>
  <c r="I25" i="2"/>
  <c r="O58" i="4" l="1"/>
  <c r="H13" i="2"/>
  <c r="I12" i="2"/>
  <c r="I26" i="2"/>
  <c r="J25" i="2"/>
  <c r="H19" i="2"/>
  <c r="I18" i="2"/>
  <c r="I13" i="2" l="1"/>
  <c r="J12" i="2"/>
  <c r="J26" i="2"/>
  <c r="K25" i="2"/>
  <c r="I19" i="2"/>
  <c r="J18" i="2"/>
  <c r="J13" i="2" l="1"/>
  <c r="K12" i="2"/>
  <c r="J19" i="2"/>
  <c r="K18" i="2"/>
  <c r="L25" i="2"/>
  <c r="K26" i="2"/>
  <c r="K13" i="2" l="1"/>
  <c r="L12" i="2"/>
  <c r="K19" i="2"/>
  <c r="L18" i="2"/>
  <c r="L26" i="2"/>
  <c r="M25" i="2"/>
  <c r="L13" i="2" l="1"/>
  <c r="M12" i="2"/>
  <c r="M26" i="2"/>
  <c r="N25" i="2"/>
  <c r="L19" i="2"/>
  <c r="M18" i="2"/>
  <c r="M13" i="2" l="1"/>
  <c r="N12" i="2"/>
  <c r="M19" i="2"/>
  <c r="N18" i="2"/>
  <c r="N26" i="2"/>
  <c r="O25" i="2"/>
  <c r="O26" i="2" s="1"/>
  <c r="N13" i="2" l="1"/>
  <c r="O12" i="2"/>
  <c r="O13" i="2" s="1"/>
  <c r="N19" i="2"/>
  <c r="O18" i="2"/>
  <c r="O19" i="2" s="1"/>
</calcChain>
</file>

<file path=xl/comments1.xml><?xml version="1.0" encoding="utf-8"?>
<comments xmlns="http://schemas.openxmlformats.org/spreadsheetml/2006/main">
  <authors>
    <author>Patrick Delaborde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Nouvelle valeur 2013 04 en phase avec DAE (diminution des coûts de maintenance et passage en amortissement du résiduel + hausse des prestations, ajout des hypothèses de productivité MO et Œuvres sociales).</t>
        </r>
      </text>
    </comment>
  </commentList>
</comments>
</file>

<file path=xl/comments2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comments3.xml><?xml version="1.0" encoding="utf-8"?>
<comments xmlns="http://schemas.openxmlformats.org/spreadsheetml/2006/main">
  <authors>
    <author>Patrick Delaborde</author>
  </authors>
  <commentList>
    <comment ref="AF23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 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Patrick Delaborde:</t>
        </r>
        <r>
          <rPr>
            <sz val="9"/>
            <color indexed="81"/>
            <rFont val="Tahoma"/>
            <family val="2"/>
          </rPr>
          <t xml:space="preserve">
Coefficent calculé sur le modèle initial global, avec 4264,17 de chutes ventilées EC+ Marché et CD à 2,38 et Fgx 1,09 €/kg. Pour arriver à 25$
</t>
        </r>
      </text>
    </comment>
  </commentList>
</comments>
</file>

<file path=xl/sharedStrings.xml><?xml version="1.0" encoding="utf-8"?>
<sst xmlns="http://schemas.openxmlformats.org/spreadsheetml/2006/main" count="318" uniqueCount="141">
  <si>
    <t>Massif</t>
  </si>
  <si>
    <t>Copeaux</t>
  </si>
  <si>
    <t>t</t>
  </si>
  <si>
    <t>k$</t>
  </si>
  <si>
    <t>Chutes Marché Libre</t>
  </si>
  <si>
    <t>Processing</t>
  </si>
  <si>
    <t>Coût du processing copeaux (€/kg) :</t>
  </si>
  <si>
    <t>Coût du processing chutes (€/kg) :</t>
  </si>
  <si>
    <t>Coût du transport aller des copeaux (€/kg) :</t>
  </si>
  <si>
    <t>Coût du transport aller des chutes (€/kg) :</t>
  </si>
  <si>
    <t>Coût du transport retour des copeaux (€/kg) :</t>
  </si>
  <si>
    <t>Coût du transport retour des chutes (€/kg) :</t>
  </si>
  <si>
    <t>Vente perte du processing</t>
  </si>
  <si>
    <t>Total</t>
  </si>
  <si>
    <t>CD</t>
  </si>
  <si>
    <t>Montant</t>
  </si>
  <si>
    <t>FGx</t>
  </si>
  <si>
    <t>Vente chutes</t>
  </si>
  <si>
    <t>CA</t>
  </si>
  <si>
    <t>Vente</t>
  </si>
  <si>
    <t>Année 2020</t>
  </si>
  <si>
    <t>Tonnage lingot</t>
  </si>
  <si>
    <t>$/kg</t>
  </si>
  <si>
    <t>Matières Premières</t>
  </si>
  <si>
    <t>Total Décaissement</t>
  </si>
  <si>
    <t>Tonnes Lingots</t>
  </si>
  <si>
    <t>Marge 1</t>
  </si>
  <si>
    <t>Parité</t>
  </si>
  <si>
    <t>CC</t>
  </si>
  <si>
    <t>Marge  (base 2 CD)</t>
  </si>
  <si>
    <t>Marge Générée</t>
  </si>
  <si>
    <t>Cumul Marge</t>
  </si>
  <si>
    <t>Marge  (base 1,5 CC)</t>
  </si>
  <si>
    <t>Cumul Résultat</t>
  </si>
  <si>
    <t>Marge 2</t>
  </si>
  <si>
    <t>Cible Marge</t>
  </si>
  <si>
    <t>Marge Nécessaire</t>
  </si>
  <si>
    <t>Chutes</t>
  </si>
  <si>
    <t>€/kg</t>
  </si>
  <si>
    <t>Marge Cible</t>
  </si>
  <si>
    <t>Coût Direct</t>
  </si>
  <si>
    <t>Coût Complet</t>
  </si>
  <si>
    <t>Prix de Vente Cible</t>
  </si>
  <si>
    <t>Prix de Vente Possible</t>
  </si>
  <si>
    <t>Mco</t>
  </si>
  <si>
    <t>Chu FeTi</t>
  </si>
  <si>
    <t>Galettes de refusion</t>
  </si>
  <si>
    <t>Rdt</t>
  </si>
  <si>
    <t>Total Massif</t>
  </si>
  <si>
    <t>Total Copeaux</t>
  </si>
  <si>
    <t>Total Chutes</t>
  </si>
  <si>
    <t>Chutes Internes</t>
  </si>
  <si>
    <t>Chutes "Négoce"</t>
  </si>
  <si>
    <t>Processing / Traitement des chutes</t>
  </si>
  <si>
    <t>Coût du processing massifs (€/kg) :</t>
  </si>
  <si>
    <t>Coût du transport aller des massifs (€/kg) :</t>
  </si>
  <si>
    <t>Coût du transport retour des massifs (€/kg) :</t>
  </si>
  <si>
    <t>Rendement Traitement Copeaux</t>
  </si>
  <si>
    <t>Rendement Traitement Massifs</t>
  </si>
  <si>
    <t>Massifs</t>
  </si>
  <si>
    <t>Prix Unitaire</t>
  </si>
  <si>
    <t>Parité € / $</t>
  </si>
  <si>
    <t>Prix Lingot ($/kg)</t>
  </si>
  <si>
    <t>Prix Massif ($/kg)</t>
  </si>
  <si>
    <t>Prix Copeaux ($/kg)</t>
  </si>
  <si>
    <t>Prix Chutes Ferroti ($/kg)</t>
  </si>
  <si>
    <t>Données Marché Libre TA6V</t>
  </si>
  <si>
    <t>Tonnage</t>
  </si>
  <si>
    <t>Prix Total 
(k$)</t>
  </si>
  <si>
    <t>Prix Unitaire 
($/kg)</t>
  </si>
  <si>
    <t>Récupération</t>
  </si>
  <si>
    <t>Coefficient de récupération pour vente de chutes</t>
  </si>
  <si>
    <t>Eponges</t>
  </si>
  <si>
    <t>Master Alloy</t>
  </si>
  <si>
    <t>Indice Eponge</t>
  </si>
  <si>
    <t>Eponges ($/kg)</t>
  </si>
  <si>
    <t>Total MA+Eponges</t>
  </si>
  <si>
    <t>Indice Malloy</t>
  </si>
  <si>
    <t>Marge</t>
  </si>
  <si>
    <t>Chutes Eco Circulaire Client</t>
  </si>
  <si>
    <t>Eponge exploitable</t>
  </si>
  <si>
    <t>Part éponges hors Poussières</t>
  </si>
  <si>
    <t>Malloy V/A 35/65 ($/kg)</t>
  </si>
  <si>
    <t>Complément V %</t>
  </si>
  <si>
    <t>1Kg MA 35V 65A</t>
  </si>
  <si>
    <t>V</t>
  </si>
  <si>
    <t>A</t>
  </si>
  <si>
    <t>Vanadium ($/kg)</t>
  </si>
  <si>
    <t>Exploitation</t>
  </si>
  <si>
    <t>CD (€/kg)</t>
  </si>
  <si>
    <t>Fgx (€/kg)</t>
  </si>
  <si>
    <t>Prix de vente</t>
  </si>
  <si>
    <t>Coût de production hors vente chute</t>
  </si>
  <si>
    <t>Vente Chutes</t>
  </si>
  <si>
    <t>Coût de production</t>
  </si>
  <si>
    <t>Marge ($/kg)</t>
  </si>
  <si>
    <t>Marge (€/kg)</t>
  </si>
  <si>
    <t>Total Enf</t>
  </si>
  <si>
    <t>PaF</t>
  </si>
  <si>
    <t>Rebut Plasma</t>
  </si>
  <si>
    <t>Rebut Var</t>
  </si>
  <si>
    <t>t nettes</t>
  </si>
  <si>
    <t>t écartées</t>
  </si>
  <si>
    <t>Ruplasma</t>
  </si>
  <si>
    <t>Ruvar</t>
  </si>
  <si>
    <t>Galettes</t>
  </si>
  <si>
    <t>Mise à blanc</t>
  </si>
  <si>
    <t>Mise à Blanc</t>
  </si>
  <si>
    <t>Prix Cible</t>
  </si>
  <si>
    <t>Contrat Retour Client</t>
  </si>
  <si>
    <t>Retour Interne Alliages</t>
  </si>
  <si>
    <t>Négoce</t>
  </si>
  <si>
    <t>Tonnage Lingot</t>
  </si>
  <si>
    <t>Avec Achat Chutes Marché</t>
  </si>
  <si>
    <t>Total Chutes hors Chutes Marché</t>
  </si>
  <si>
    <t>Devis 1</t>
  </si>
  <si>
    <t>Devis 2</t>
  </si>
  <si>
    <t>Prix EC</t>
  </si>
  <si>
    <t>Prix Spot</t>
  </si>
  <si>
    <t>Volume EC</t>
  </si>
  <si>
    <t>Volume Spot</t>
  </si>
  <si>
    <t>Prix Devis 2</t>
  </si>
  <si>
    <t>Volume</t>
  </si>
  <si>
    <t>Qté Produite</t>
  </si>
  <si>
    <t>kg</t>
  </si>
  <si>
    <t>Qté VAR 1</t>
  </si>
  <si>
    <t>Qté VAR 2</t>
  </si>
  <si>
    <t>Blanchissage</t>
  </si>
  <si>
    <t>Coûts Matières</t>
  </si>
  <si>
    <t>Part Matière</t>
  </si>
  <si>
    <t>Estimation CD</t>
  </si>
  <si>
    <t>VA CD</t>
  </si>
  <si>
    <t>Estimation CC</t>
  </si>
  <si>
    <t>PU Eponges:</t>
  </si>
  <si>
    <t>Bonjour Patrick,</t>
  </si>
  <si>
    <t>Réponse de Thierry FERRANDON :</t>
  </si>
  <si>
    <t xml:space="preserve">  -Prix du Va à 40 €/kg soit 54 $/kg (parité de 1.35)</t>
  </si>
  <si>
    <t xml:space="preserve">  -Prix du Va Al (55%Va - 45% Al) à 22 €/kg soit 29.7 $/kg.  Va Al utilisé dans le calcul du modèle économique.</t>
  </si>
  <si>
    <t>Prix de vente UKTMP AD Mai 2013</t>
  </si>
  <si>
    <t>Prix Contrats LT Metal Prices et Metal Pages</t>
  </si>
  <si>
    <r>
      <t>Stat USGS 2013q</t>
    </r>
    <r>
      <rPr>
        <i/>
        <sz val="10"/>
        <rFont val="Arial"/>
        <family val="2"/>
      </rPr>
      <t>3, Eponges Japonaises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</si>
</sst>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€&quot;;[Red]\-#,##0\ &quot;€&quot;"/>
    <numFmt numFmtId="43" formatCode="_-* #,##0.00\ _€_-;\-* #,##0.00\ _€_-;_-* &quot;-&quot;??\ _€_-;_-@_-"/>
    <numFmt numFmtId="164" formatCode="0.000"/>
    <numFmt numFmtId="165" formatCode="_-[$$-409]* #,##0.00_ ;_-[$$-409]* \-#,##0.00\ ;_-[$$-409]* &quot;-&quot;??_ ;_-@_ "/>
    <numFmt numFmtId="166" formatCode="_-* #,##0.00\ [$€-40C]_-;\-* #,##0.00\ [$€-40C]_-;_-* &quot;-&quot;??\ [$€-40C]_-;_-@_-"/>
    <numFmt numFmtId="167" formatCode="* #,##0.00&quot; €/kg&quot;"/>
    <numFmt numFmtId="168" formatCode="* #,##0&quot; k€&quot;"/>
    <numFmt numFmtId="169" formatCode="* #,##0.00&quot; $/kg&quot;"/>
    <numFmt numFmtId="170" formatCode="0.000000"/>
    <numFmt numFmtId="171" formatCode="_-* #,##0\ _€_-;\-* #,##0\ _€_-;_-* &quot;-&quot;??\ _€_-;_-@_-"/>
  </numFmts>
  <fonts count="17" x14ac:knownFonts="1">
    <font>
      <sz val="10"/>
      <name val="Arial"/>
    </font>
    <font>
      <sz val="8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double">
        <color rgb="FFFF8001"/>
      </bottom>
      <diagonal/>
    </border>
    <border>
      <left/>
      <right/>
      <top style="thin">
        <color indexed="64"/>
      </top>
      <bottom style="double">
        <color rgb="FFFF8001"/>
      </bottom>
      <diagonal/>
    </border>
    <border>
      <left/>
      <right style="thin">
        <color indexed="64"/>
      </right>
      <top style="thin">
        <color indexed="64"/>
      </top>
      <bottom style="double">
        <color rgb="FFFF80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3" applyNumberFormat="0" applyFill="0" applyAlignment="0" applyProtection="0"/>
    <xf numFmtId="0" fontId="6" fillId="5" borderId="2" applyNumberFormat="0" applyAlignment="0" applyProtection="0"/>
    <xf numFmtId="0" fontId="7" fillId="4" borderId="4" applyNumberFormat="0" applyAlignment="0" applyProtection="0"/>
    <xf numFmtId="0" fontId="8" fillId="6" borderId="5" applyNumberFormat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1" fontId="0" fillId="0" borderId="0" xfId="0" applyNumberFormat="1"/>
    <xf numFmtId="164" fontId="0" fillId="3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2" borderId="0" xfId="0" applyFill="1"/>
    <xf numFmtId="0" fontId="4" fillId="0" borderId="0" xfId="0" applyFon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0" fillId="7" borderId="0" xfId="0" applyFill="1"/>
    <xf numFmtId="164" fontId="0" fillId="0" borderId="0" xfId="0" applyNumberFormat="1" applyFill="1" applyAlignment="1">
      <alignment horizontal="center"/>
    </xf>
    <xf numFmtId="0" fontId="0" fillId="0" borderId="0" xfId="0" applyFill="1"/>
    <xf numFmtId="169" fontId="0" fillId="0" borderId="0" xfId="0" applyNumberFormat="1" applyFill="1"/>
    <xf numFmtId="0" fontId="8" fillId="6" borderId="5" xfId="4"/>
    <xf numFmtId="0" fontId="6" fillId="5" borderId="2" xfId="2"/>
    <xf numFmtId="0" fontId="7" fillId="4" borderId="4" xfId="3"/>
    <xf numFmtId="169" fontId="6" fillId="5" borderId="2" xfId="2" applyNumberFormat="1"/>
    <xf numFmtId="164" fontId="6" fillId="5" borderId="2" xfId="2" applyNumberFormat="1"/>
    <xf numFmtId="167" fontId="6" fillId="5" borderId="2" xfId="2" applyNumberFormat="1"/>
    <xf numFmtId="169" fontId="7" fillId="4" borderId="4" xfId="3" applyNumberFormat="1"/>
    <xf numFmtId="164" fontId="7" fillId="4" borderId="4" xfId="3" applyNumberFormat="1"/>
    <xf numFmtId="167" fontId="7" fillId="4" borderId="4" xfId="3" applyNumberFormat="1"/>
    <xf numFmtId="9" fontId="7" fillId="4" borderId="4" xfId="3" applyNumberFormat="1"/>
    <xf numFmtId="167" fontId="8" fillId="6" borderId="5" xfId="4" applyNumberFormat="1"/>
    <xf numFmtId="169" fontId="8" fillId="6" borderId="5" xfId="4" applyNumberFormat="1"/>
    <xf numFmtId="164" fontId="8" fillId="6" borderId="5" xfId="4" applyNumberFormat="1"/>
    <xf numFmtId="0" fontId="7" fillId="4" borderId="6" xfId="3" applyBorder="1"/>
    <xf numFmtId="169" fontId="7" fillId="4" borderId="6" xfId="3" applyNumberFormat="1" applyBorder="1"/>
    <xf numFmtId="167" fontId="7" fillId="4" borderId="6" xfId="3" applyNumberFormat="1" applyBorder="1"/>
    <xf numFmtId="0" fontId="5" fillId="4" borderId="7" xfId="1" applyFill="1" applyBorder="1"/>
    <xf numFmtId="0" fontId="5" fillId="4" borderId="8" xfId="1" applyFill="1" applyBorder="1"/>
    <xf numFmtId="169" fontId="5" fillId="4" borderId="8" xfId="1" applyNumberFormat="1" applyFill="1" applyBorder="1"/>
    <xf numFmtId="167" fontId="5" fillId="4" borderId="8" xfId="1" applyNumberFormat="1" applyFill="1" applyBorder="1"/>
    <xf numFmtId="9" fontId="5" fillId="4" borderId="9" xfId="1" applyNumberFormat="1" applyFill="1" applyBorder="1"/>
    <xf numFmtId="0" fontId="5" fillId="4" borderId="10" xfId="1" applyFill="1" applyBorder="1"/>
    <xf numFmtId="0" fontId="5" fillId="4" borderId="11" xfId="1" applyFill="1" applyBorder="1"/>
    <xf numFmtId="169" fontId="5" fillId="4" borderId="11" xfId="1" applyNumberFormat="1" applyFill="1" applyBorder="1"/>
    <xf numFmtId="167" fontId="5" fillId="4" borderId="11" xfId="1" applyNumberFormat="1" applyFill="1" applyBorder="1"/>
    <xf numFmtId="9" fontId="5" fillId="4" borderId="12" xfId="1" applyNumberFormat="1" applyFill="1" applyBorder="1"/>
    <xf numFmtId="1" fontId="0" fillId="0" borderId="0" xfId="0" applyNumberFormat="1"/>
    <xf numFmtId="170" fontId="0" fillId="0" borderId="0" xfId="0" applyNumberFormat="1"/>
    <xf numFmtId="0" fontId="9" fillId="0" borderId="0" xfId="0" applyFont="1"/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8" borderId="1" xfId="0" applyFill="1" applyBorder="1"/>
    <xf numFmtId="2" fontId="0" fillId="9" borderId="0" xfId="0" applyNumberForma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43" fontId="0" fillId="9" borderId="0" xfId="5" applyNumberFormat="1" applyFont="1" applyFill="1" applyAlignment="1">
      <alignment horizontal="right"/>
    </xf>
    <xf numFmtId="43" fontId="0" fillId="0" borderId="0" xfId="5" applyNumberFormat="1" applyFont="1"/>
    <xf numFmtId="43" fontId="0" fillId="9" borderId="0" xfId="5" applyNumberFormat="1" applyFont="1" applyFill="1"/>
    <xf numFmtId="9" fontId="0" fillId="2" borderId="1" xfId="6" applyFont="1" applyFill="1" applyBorder="1" applyAlignment="1">
      <alignment horizontal="center"/>
    </xf>
    <xf numFmtId="9" fontId="0" fillId="0" borderId="0" xfId="6" applyFont="1"/>
    <xf numFmtId="0" fontId="4" fillId="0" borderId="1" xfId="0" applyFont="1" applyBorder="1"/>
    <xf numFmtId="6" fontId="0" fillId="0" borderId="1" xfId="0" applyNumberFormat="1" applyBorder="1"/>
    <xf numFmtId="2" fontId="0" fillId="2" borderId="1" xfId="6" applyNumberFormat="1" applyFont="1" applyFill="1" applyBorder="1" applyAlignment="1">
      <alignment horizontal="center"/>
    </xf>
    <xf numFmtId="0" fontId="12" fillId="0" borderId="0" xfId="0" applyFont="1"/>
    <xf numFmtId="164" fontId="0" fillId="0" borderId="0" xfId="0" applyNumberFormat="1"/>
    <xf numFmtId="165" fontId="0" fillId="2" borderId="1" xfId="6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2" fontId="0" fillId="10" borderId="0" xfId="0" applyNumberFormat="1" applyFill="1" applyBorder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4" fillId="7" borderId="0" xfId="0" applyFont="1" applyFill="1"/>
    <xf numFmtId="0" fontId="4" fillId="0" borderId="1" xfId="0" applyFont="1" applyBorder="1" applyAlignment="1">
      <alignment wrapText="1"/>
    </xf>
    <xf numFmtId="0" fontId="4" fillId="0" borderId="0" xfId="0" applyFont="1" applyFill="1" applyBorder="1"/>
    <xf numFmtId="166" fontId="0" fillId="8" borderId="1" xfId="0" applyNumberFormat="1" applyFill="1" applyBorder="1"/>
    <xf numFmtId="0" fontId="4" fillId="0" borderId="1" xfId="0" applyFont="1" applyFill="1" applyBorder="1"/>
    <xf numFmtId="10" fontId="0" fillId="8" borderId="1" xfId="6" applyNumberFormat="1" applyFont="1" applyFill="1" applyBorder="1"/>
    <xf numFmtId="2" fontId="4" fillId="10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/>
    <xf numFmtId="2" fontId="0" fillId="8" borderId="1" xfId="0" applyNumberFormat="1" applyFill="1" applyBorder="1"/>
    <xf numFmtId="171" fontId="0" fillId="0" borderId="0" xfId="5" applyNumberFormat="1" applyFont="1"/>
    <xf numFmtId="0" fontId="0" fillId="0" borderId="1" xfId="0" applyBorder="1" applyAlignment="1">
      <alignment vertical="center"/>
    </xf>
    <xf numFmtId="0" fontId="0" fillId="0" borderId="0" xfId="0" applyAlignment="1">
      <alignment horizontal="right"/>
    </xf>
    <xf numFmtId="0" fontId="15" fillId="0" borderId="0" xfId="0" applyFont="1" applyAlignment="1">
      <alignment vertical="center"/>
    </xf>
    <xf numFmtId="2" fontId="0" fillId="0" borderId="1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2" fontId="0" fillId="0" borderId="26" xfId="0" applyNumberFormat="1" applyBorder="1"/>
    <xf numFmtId="0" fontId="4" fillId="0" borderId="18" xfId="0" applyFont="1" applyBorder="1" applyAlignment="1">
      <alignment textRotation="60" wrapText="1"/>
    </xf>
  </cellXfs>
  <cellStyles count="7">
    <cellStyle name="Cellule liée" xfId="1" builtinId="24"/>
    <cellStyle name="Entrée" xfId="2" builtinId="20"/>
    <cellStyle name="Milliers" xfId="5" builtinId="3"/>
    <cellStyle name="Normal" xfId="0" builtinId="0"/>
    <cellStyle name="Pourcentage" xfId="6" builtinId="5"/>
    <cellStyle name="Sortie" xfId="3" builtinId="21"/>
    <cellStyle name="Vérification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4"/>
  <sheetViews>
    <sheetView workbookViewId="0">
      <selection activeCell="L5" sqref="L5"/>
    </sheetView>
  </sheetViews>
  <sheetFormatPr baseColWidth="10" defaultRowHeight="12.75" x14ac:dyDescent="0.2"/>
  <cols>
    <col min="6" max="6" width="6.7109375" customWidth="1"/>
    <col min="7" max="7" width="4.7109375" customWidth="1"/>
    <col min="8" max="8" width="13.7109375" customWidth="1"/>
    <col min="9" max="9" width="8.85546875" customWidth="1"/>
    <col min="11" max="11" width="14.85546875" customWidth="1"/>
    <col min="13" max="13" width="8.5703125" customWidth="1"/>
    <col min="14" max="14" width="8.42578125" customWidth="1"/>
    <col min="15" max="15" width="9" customWidth="1"/>
    <col min="16" max="16" width="5.7109375" customWidth="1"/>
    <col min="17" max="17" width="5.5703125" customWidth="1"/>
  </cols>
  <sheetData>
    <row r="2" spans="1:15" s="48" customFormat="1" ht="23.25" x14ac:dyDescent="0.35">
      <c r="A2" s="48" t="s">
        <v>53</v>
      </c>
      <c r="H2" s="48" t="s">
        <v>61</v>
      </c>
      <c r="K2" s="48" t="s">
        <v>74</v>
      </c>
    </row>
    <row r="4" spans="1:15" x14ac:dyDescent="0.2">
      <c r="A4" s="85" t="s">
        <v>6</v>
      </c>
      <c r="B4" s="85"/>
      <c r="C4" s="85"/>
      <c r="D4" s="85"/>
      <c r="E4" s="4">
        <v>1.7004146449723441</v>
      </c>
      <c r="H4" s="66">
        <v>1</v>
      </c>
      <c r="I4" s="70">
        <v>1.31</v>
      </c>
      <c r="K4" s="65" t="s">
        <v>75</v>
      </c>
      <c r="L4" s="67">
        <f>6.17*2.2</f>
        <v>13.574000000000002</v>
      </c>
    </row>
    <row r="5" spans="1:15" x14ac:dyDescent="0.2">
      <c r="A5" s="85" t="s">
        <v>54</v>
      </c>
      <c r="B5" s="85"/>
      <c r="C5" s="85"/>
      <c r="D5" s="85"/>
      <c r="E5" s="4">
        <v>1.1255088099999999</v>
      </c>
    </row>
    <row r="6" spans="1:15" ht="25.5" x14ac:dyDescent="0.2">
      <c r="A6" s="71"/>
      <c r="B6" s="71"/>
      <c r="C6" s="71"/>
      <c r="D6" s="71"/>
      <c r="E6" s="72"/>
      <c r="K6" s="75" t="s">
        <v>81</v>
      </c>
      <c r="L6" s="63">
        <v>0.99</v>
      </c>
    </row>
    <row r="7" spans="1:15" x14ac:dyDescent="0.2">
      <c r="A7" s="85" t="s">
        <v>8</v>
      </c>
      <c r="B7" s="85"/>
      <c r="C7" s="85"/>
      <c r="D7" s="85"/>
      <c r="E7" s="4">
        <v>0.11255088099999999</v>
      </c>
    </row>
    <row r="8" spans="1:15" ht="23.25" x14ac:dyDescent="0.35">
      <c r="A8" s="85" t="s">
        <v>55</v>
      </c>
      <c r="B8" s="85"/>
      <c r="C8" s="85"/>
      <c r="D8" s="85"/>
      <c r="E8" s="5">
        <v>8.4413160749999994E-2</v>
      </c>
      <c r="K8" s="48" t="s">
        <v>77</v>
      </c>
      <c r="L8" s="48"/>
      <c r="M8" s="48"/>
      <c r="N8" s="48"/>
    </row>
    <row r="9" spans="1:15" ht="15" x14ac:dyDescent="0.2">
      <c r="A9" s="85" t="s">
        <v>10</v>
      </c>
      <c r="B9" s="85"/>
      <c r="C9" s="85"/>
      <c r="D9" s="85"/>
      <c r="E9" s="5">
        <v>0.18758480166666663</v>
      </c>
      <c r="O9" s="87" t="s">
        <v>134</v>
      </c>
    </row>
    <row r="10" spans="1:15" ht="15" x14ac:dyDescent="0.2">
      <c r="A10" s="85" t="s">
        <v>56</v>
      </c>
      <c r="B10" s="85"/>
      <c r="C10" s="85"/>
      <c r="D10" s="85"/>
      <c r="E10" s="5">
        <v>5.6275440499999996E-2</v>
      </c>
      <c r="K10" s="65" t="s">
        <v>82</v>
      </c>
      <c r="L10" s="70">
        <v>29.7</v>
      </c>
      <c r="O10" s="87" t="s">
        <v>135</v>
      </c>
    </row>
    <row r="11" spans="1:15" ht="15" x14ac:dyDescent="0.2">
      <c r="K11" s="11" t="s">
        <v>83</v>
      </c>
      <c r="O11" s="87" t="s">
        <v>136</v>
      </c>
    </row>
    <row r="12" spans="1:15" ht="15" x14ac:dyDescent="0.2">
      <c r="A12" s="49" t="s">
        <v>58</v>
      </c>
      <c r="B12" s="50"/>
      <c r="C12" s="50"/>
      <c r="D12" s="51"/>
      <c r="E12" s="5">
        <v>0.9</v>
      </c>
      <c r="K12" s="65" t="s">
        <v>87</v>
      </c>
      <c r="L12" s="70">
        <v>54</v>
      </c>
      <c r="O12" s="87" t="s">
        <v>137</v>
      </c>
    </row>
    <row r="13" spans="1:15" x14ac:dyDescent="0.2">
      <c r="A13" s="49" t="s">
        <v>57</v>
      </c>
      <c r="B13" s="50"/>
      <c r="C13" s="50"/>
      <c r="D13" s="51"/>
      <c r="E13" s="5">
        <v>0.75</v>
      </c>
      <c r="L13" s="70">
        <f>(L10*1000+L12*L16)/N17</f>
        <v>31.569230769230771</v>
      </c>
    </row>
    <row r="14" spans="1:15" x14ac:dyDescent="0.2">
      <c r="L14" s="11" t="s">
        <v>85</v>
      </c>
      <c r="M14" s="11" t="s">
        <v>86</v>
      </c>
    </row>
    <row r="15" spans="1:15" x14ac:dyDescent="0.2">
      <c r="A15" s="49" t="s">
        <v>71</v>
      </c>
      <c r="B15" s="50"/>
      <c r="C15" s="50"/>
      <c r="D15" s="51"/>
      <c r="E15" s="63">
        <v>0.8</v>
      </c>
      <c r="K15" s="11" t="s">
        <v>84</v>
      </c>
      <c r="L15">
        <v>350</v>
      </c>
      <c r="M15">
        <v>650</v>
      </c>
      <c r="N15">
        <f>L15+M15</f>
        <v>1000</v>
      </c>
    </row>
    <row r="16" spans="1:15" x14ac:dyDescent="0.2">
      <c r="K16" s="76" t="s">
        <v>85</v>
      </c>
      <c r="L16">
        <f>L17-L15</f>
        <v>83.333333333333314</v>
      </c>
      <c r="N16">
        <f>L16+M16</f>
        <v>83.333333333333314</v>
      </c>
    </row>
    <row r="17" spans="1:14" x14ac:dyDescent="0.2">
      <c r="L17">
        <f>M17/6*4</f>
        <v>433.33333333333331</v>
      </c>
      <c r="M17">
        <f>M15+M16</f>
        <v>650</v>
      </c>
      <c r="N17">
        <f>L17+M17</f>
        <v>1083.3333333333333</v>
      </c>
    </row>
    <row r="18" spans="1:14" ht="23.25" x14ac:dyDescent="0.35">
      <c r="A18" s="48" t="s">
        <v>66</v>
      </c>
      <c r="H18" s="48" t="s">
        <v>88</v>
      </c>
    </row>
    <row r="19" spans="1:14" x14ac:dyDescent="0.2">
      <c r="A19" s="53" t="s">
        <v>62</v>
      </c>
      <c r="B19" s="54"/>
      <c r="C19" s="55">
        <v>24.78</v>
      </c>
      <c r="H19" s="65" t="s">
        <v>89</v>
      </c>
      <c r="I19" s="77">
        <f>9207.3171/4033.89</f>
        <v>2.2824908710946508</v>
      </c>
    </row>
    <row r="20" spans="1:14" x14ac:dyDescent="0.2">
      <c r="A20" s="52" t="s">
        <v>63</v>
      </c>
      <c r="B20" s="51"/>
      <c r="C20" s="83">
        <v>4.8</v>
      </c>
      <c r="H20" s="65" t="s">
        <v>90</v>
      </c>
      <c r="I20" s="77">
        <f>4576.98736/4033.89</f>
        <v>1.1346336563466035</v>
      </c>
    </row>
    <row r="21" spans="1:14" x14ac:dyDescent="0.2">
      <c r="A21" s="52" t="s">
        <v>64</v>
      </c>
      <c r="B21" s="51"/>
      <c r="C21" s="83">
        <v>2.9</v>
      </c>
      <c r="H21" s="78" t="s">
        <v>99</v>
      </c>
      <c r="I21" s="79">
        <v>2.1041089736326474E-2</v>
      </c>
    </row>
    <row r="22" spans="1:14" x14ac:dyDescent="0.2">
      <c r="A22" s="52" t="s">
        <v>65</v>
      </c>
      <c r="B22" s="51"/>
      <c r="C22" s="55">
        <v>2.48</v>
      </c>
      <c r="H22" s="78" t="s">
        <v>100</v>
      </c>
      <c r="I22" s="79">
        <v>1.0533156511823433E-2</v>
      </c>
    </row>
    <row r="23" spans="1:14" x14ac:dyDescent="0.2">
      <c r="H23" s="78" t="s">
        <v>105</v>
      </c>
      <c r="I23" s="79">
        <v>1.9732138571523523E-2</v>
      </c>
    </row>
    <row r="24" spans="1:14" ht="23.25" x14ac:dyDescent="0.35">
      <c r="A24" s="48" t="s">
        <v>109</v>
      </c>
      <c r="H24" s="78" t="s">
        <v>107</v>
      </c>
      <c r="I24" s="79">
        <v>1.3371609048756896E-2</v>
      </c>
    </row>
    <row r="25" spans="1:14" x14ac:dyDescent="0.2">
      <c r="A25" s="52" t="s">
        <v>63</v>
      </c>
      <c r="B25" s="51"/>
      <c r="C25" s="55">
        <v>1</v>
      </c>
    </row>
    <row r="26" spans="1:14" x14ac:dyDescent="0.2">
      <c r="A26" s="52" t="s">
        <v>64</v>
      </c>
      <c r="B26" s="51"/>
      <c r="C26" s="55">
        <v>0.6</v>
      </c>
    </row>
    <row r="28" spans="1:14" ht="23.25" x14ac:dyDescent="0.35">
      <c r="A28" s="48" t="s">
        <v>110</v>
      </c>
    </row>
    <row r="29" spans="1:14" x14ac:dyDescent="0.2">
      <c r="A29" s="52" t="s">
        <v>63</v>
      </c>
      <c r="B29" s="51"/>
      <c r="C29" s="55">
        <v>1</v>
      </c>
    </row>
    <row r="30" spans="1:14" x14ac:dyDescent="0.2">
      <c r="A30" s="52" t="s">
        <v>64</v>
      </c>
      <c r="B30" s="51"/>
      <c r="C30" s="55">
        <v>0.6</v>
      </c>
    </row>
    <row r="32" spans="1:14" ht="23.25" x14ac:dyDescent="0.35">
      <c r="A32" s="48" t="s">
        <v>111</v>
      </c>
    </row>
    <row r="33" spans="1:3" x14ac:dyDescent="0.2">
      <c r="A33" s="52" t="s">
        <v>63</v>
      </c>
      <c r="B33" s="51"/>
      <c r="C33" s="55">
        <v>1</v>
      </c>
    </row>
    <row r="34" spans="1:3" x14ac:dyDescent="0.2">
      <c r="A34" s="52" t="s">
        <v>64</v>
      </c>
      <c r="B34" s="51"/>
      <c r="C34" s="55">
        <v>0.6</v>
      </c>
    </row>
  </sheetData>
  <mergeCells count="6">
    <mergeCell ref="A10:D10"/>
    <mergeCell ref="A4:D4"/>
    <mergeCell ref="A5:D5"/>
    <mergeCell ref="A7:D7"/>
    <mergeCell ref="A8:D8"/>
    <mergeCell ref="A9:D9"/>
  </mergeCells>
  <phoneticPr fontId="1" type="noConversion"/>
  <pageMargins left="0.78740157499999996" right="0.78740157499999996" top="0.984251969" bottom="0.984251969" header="0.4921259845" footer="0.4921259845"/>
  <pageSetup orientation="portrait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K17" sqref="K17"/>
    </sheetView>
  </sheetViews>
  <sheetFormatPr baseColWidth="10" defaultRowHeight="12.75" x14ac:dyDescent="0.2"/>
  <cols>
    <col min="1" max="1" width="17" customWidth="1"/>
    <col min="6" max="8" width="11.42578125" customWidth="1"/>
  </cols>
  <sheetData>
    <row r="1" spans="1:4" x14ac:dyDescent="0.2">
      <c r="A1" t="s">
        <v>123</v>
      </c>
      <c r="B1" s="84">
        <v>1000</v>
      </c>
      <c r="C1" t="s">
        <v>124</v>
      </c>
      <c r="D1" t="s">
        <v>37</v>
      </c>
    </row>
    <row r="3" spans="1:4" x14ac:dyDescent="0.2">
      <c r="A3" t="s">
        <v>126</v>
      </c>
      <c r="B3" s="46">
        <f>B1/(1-ruvar)/(1-pertegalette)</f>
        <v>1030.9889008211733</v>
      </c>
      <c r="D3" s="46">
        <f>B3-B1</f>
        <v>30.988900821173274</v>
      </c>
    </row>
    <row r="4" spans="1:4" x14ac:dyDescent="0.2">
      <c r="A4" t="s">
        <v>127</v>
      </c>
      <c r="B4" s="46">
        <f>B3/(1-perteecroutage)</f>
        <v>1044.9617204175127</v>
      </c>
      <c r="D4" s="46">
        <f>B4-B3</f>
        <v>13.972819596339377</v>
      </c>
    </row>
    <row r="5" spans="1:4" x14ac:dyDescent="0.2">
      <c r="A5" t="s">
        <v>125</v>
      </c>
      <c r="B5" s="46">
        <f>B4/(1-ruvar)/(1-pertegalette)</f>
        <v>1077.3439355334535</v>
      </c>
      <c r="D5" s="46">
        <f>B5-B4</f>
        <v>32.38221511594088</v>
      </c>
    </row>
    <row r="6" spans="1:4" x14ac:dyDescent="0.2">
      <c r="B6" s="46"/>
    </row>
    <row r="7" spans="1:4" x14ac:dyDescent="0.2">
      <c r="A7" t="s">
        <v>72</v>
      </c>
      <c r="B7" s="46">
        <f>0.9*B5/partepongex</f>
        <v>979.40357775768507</v>
      </c>
    </row>
    <row r="8" spans="1:4" x14ac:dyDescent="0.2">
      <c r="A8" t="s">
        <v>73</v>
      </c>
      <c r="B8" s="46">
        <f>B5*0.1</f>
        <v>107.73439355334536</v>
      </c>
    </row>
    <row r="10" spans="1:4" x14ac:dyDescent="0.2">
      <c r="A10" t="s">
        <v>37</v>
      </c>
      <c r="D10" s="46">
        <f>SUM(D3:D6)</f>
        <v>77.343935533453532</v>
      </c>
    </row>
    <row r="12" spans="1:4" x14ac:dyDescent="0.2">
      <c r="A12" t="s">
        <v>128</v>
      </c>
    </row>
    <row r="13" spans="1:4" x14ac:dyDescent="0.2">
      <c r="A13" t="s">
        <v>72</v>
      </c>
      <c r="B13">
        <f>B7*pxeponge</f>
        <v>13294.424164482818</v>
      </c>
    </row>
    <row r="14" spans="1:4" x14ac:dyDescent="0.2">
      <c r="A14" t="s">
        <v>73</v>
      </c>
      <c r="B14">
        <f>B8*pxmasteral</f>
        <v>3401.0919318686874</v>
      </c>
    </row>
    <row r="15" spans="1:4" x14ac:dyDescent="0.2">
      <c r="A15" t="s">
        <v>13</v>
      </c>
      <c r="B15">
        <f>B13+B14</f>
        <v>16695.516096351505</v>
      </c>
    </row>
    <row r="16" spans="1:4" ht="13.5" thickBot="1" x14ac:dyDescent="0.25"/>
    <row r="17" spans="1:8" ht="87" customHeight="1" thickBot="1" x14ac:dyDescent="0.25">
      <c r="A17" t="s">
        <v>93</v>
      </c>
      <c r="B17">
        <f>D10*0.8*pxmarferroti</f>
        <v>153.4503680983718</v>
      </c>
      <c r="F17" s="97" t="s">
        <v>138</v>
      </c>
      <c r="G17" s="97" t="s">
        <v>139</v>
      </c>
      <c r="H17" s="97" t="s">
        <v>140</v>
      </c>
    </row>
    <row r="18" spans="1:8" x14ac:dyDescent="0.2">
      <c r="C18" s="86" t="s">
        <v>133</v>
      </c>
      <c r="D18" s="3">
        <f>pxeponge</f>
        <v>13.574000000000002</v>
      </c>
      <c r="E18" t="s">
        <v>22</v>
      </c>
      <c r="F18" s="89">
        <v>7.9</v>
      </c>
      <c r="G18" s="90">
        <v>10</v>
      </c>
      <c r="H18" s="91">
        <v>13.574000000000002</v>
      </c>
    </row>
    <row r="19" spans="1:8" x14ac:dyDescent="0.2">
      <c r="A19" t="s">
        <v>129</v>
      </c>
      <c r="B19">
        <f>B15-B17</f>
        <v>16542.065728253132</v>
      </c>
      <c r="D19" s="3">
        <f>B19/qteproduite</f>
        <v>16.542065728253132</v>
      </c>
      <c r="E19" t="s">
        <v>22</v>
      </c>
      <c r="F19" s="92">
        <v>10.984929828056027</v>
      </c>
      <c r="G19" s="88">
        <v>13.041677341347164</v>
      </c>
      <c r="H19" s="93">
        <v>16.542065728253132</v>
      </c>
    </row>
    <row r="20" spans="1:8" x14ac:dyDescent="0.2">
      <c r="A20" t="s">
        <v>131</v>
      </c>
      <c r="D20" s="3">
        <v>3</v>
      </c>
      <c r="E20" t="s">
        <v>22</v>
      </c>
      <c r="F20" s="92">
        <v>3</v>
      </c>
      <c r="G20" s="88">
        <v>3</v>
      </c>
      <c r="H20" s="93">
        <v>3</v>
      </c>
    </row>
    <row r="21" spans="1:8" x14ac:dyDescent="0.2">
      <c r="A21" t="s">
        <v>130</v>
      </c>
      <c r="D21" s="3">
        <f>D19+D20</f>
        <v>19.542065728253132</v>
      </c>
      <c r="E21" t="s">
        <v>22</v>
      </c>
      <c r="F21" s="92">
        <v>13.984929828056027</v>
      </c>
      <c r="G21" s="88">
        <v>16.041677341347164</v>
      </c>
      <c r="H21" s="93">
        <v>19.542065728253132</v>
      </c>
    </row>
    <row r="22" spans="1:8" ht="13.5" thickBot="1" x14ac:dyDescent="0.25">
      <c r="A22" t="s">
        <v>132</v>
      </c>
      <c r="D22" s="3">
        <f>D19+1.5*D20</f>
        <v>21.042065728253132</v>
      </c>
      <c r="E22" t="s">
        <v>22</v>
      </c>
      <c r="F22" s="94">
        <v>15.484929828056027</v>
      </c>
      <c r="G22" s="95">
        <v>17.541677341347164</v>
      </c>
      <c r="H22" s="96">
        <v>21.042065728253132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N12" sqref="N12"/>
    </sheetView>
  </sheetViews>
  <sheetFormatPr baseColWidth="10" defaultRowHeight="12.75" x14ac:dyDescent="0.2"/>
  <cols>
    <col min="3" max="3" width="14.5703125" customWidth="1"/>
    <col min="4" max="4" width="12.28515625" customWidth="1"/>
    <col min="11" max="11" width="20.85546875" customWidth="1"/>
  </cols>
  <sheetData>
    <row r="1" spans="1:14" x14ac:dyDescent="0.2">
      <c r="A1" s="9" t="s">
        <v>79</v>
      </c>
    </row>
    <row r="2" spans="1:14" s="57" customFormat="1" ht="31.5" x14ac:dyDescent="0.25">
      <c r="B2" s="58" t="s">
        <v>67</v>
      </c>
      <c r="C2" s="59" t="s">
        <v>69</v>
      </c>
      <c r="D2" s="59" t="s">
        <v>68</v>
      </c>
      <c r="K2" s="57" t="s">
        <v>115</v>
      </c>
    </row>
    <row r="3" spans="1:14" x14ac:dyDescent="0.2">
      <c r="A3" t="s">
        <v>0</v>
      </c>
      <c r="B3" s="2">
        <v>0</v>
      </c>
      <c r="C3">
        <f>pxrcmassif</f>
        <v>1</v>
      </c>
      <c r="D3" s="60">
        <f>B3*C3</f>
        <v>0</v>
      </c>
      <c r="G3" s="2">
        <v>880.20399999999995</v>
      </c>
    </row>
    <row r="4" spans="1:14" x14ac:dyDescent="0.2">
      <c r="A4" t="s">
        <v>1</v>
      </c>
      <c r="B4" s="2">
        <v>0</v>
      </c>
      <c r="C4">
        <f>pxrccopeau</f>
        <v>0.6</v>
      </c>
      <c r="D4" s="60">
        <f>B4*C4</f>
        <v>0</v>
      </c>
      <c r="G4" s="2">
        <v>1186.7625</v>
      </c>
      <c r="K4" s="11" t="s">
        <v>108</v>
      </c>
      <c r="L4" s="3">
        <f>'Calcul Devis 100% Chutes'!AD12</f>
        <v>18.828879107985742</v>
      </c>
      <c r="N4" t="s">
        <v>113</v>
      </c>
    </row>
    <row r="5" spans="1:14" x14ac:dyDescent="0.2">
      <c r="A5" t="s">
        <v>13</v>
      </c>
      <c r="B5" s="56">
        <f>B3+B4</f>
        <v>0</v>
      </c>
      <c r="D5" s="56">
        <f>D3+D4</f>
        <v>0</v>
      </c>
      <c r="G5" s="56">
        <v>2066.9665</v>
      </c>
      <c r="K5" s="11" t="s">
        <v>112</v>
      </c>
      <c r="L5" s="46">
        <f>'Calcul Devis 100% Chutes'!AD10</f>
        <v>625.70819778142288</v>
      </c>
    </row>
    <row r="6" spans="1:14" x14ac:dyDescent="0.2">
      <c r="D6" s="61"/>
    </row>
    <row r="7" spans="1:14" x14ac:dyDescent="0.2">
      <c r="A7" s="9" t="s">
        <v>51</v>
      </c>
      <c r="D7" s="61"/>
    </row>
    <row r="8" spans="1:14" ht="15.75" x14ac:dyDescent="0.25">
      <c r="B8" s="1" t="s">
        <v>2</v>
      </c>
      <c r="D8" s="61"/>
      <c r="G8" s="1" t="s">
        <v>2</v>
      </c>
      <c r="K8" s="57" t="s">
        <v>116</v>
      </c>
    </row>
    <row r="9" spans="1:14" x14ac:dyDescent="0.2">
      <c r="A9" t="s">
        <v>0</v>
      </c>
      <c r="B9" s="2">
        <v>0</v>
      </c>
      <c r="C9">
        <f>pxrciamassif</f>
        <v>1</v>
      </c>
      <c r="D9" s="60">
        <f>B9*C9</f>
        <v>0</v>
      </c>
      <c r="G9" s="2">
        <v>0</v>
      </c>
      <c r="K9" t="s">
        <v>117</v>
      </c>
      <c r="L9" s="69" t="e">
        <f>'Calcul Devis Chutes EC + Lgt Sp'!AD12</f>
        <v>#DIV/0!</v>
      </c>
    </row>
    <row r="10" spans="1:14" x14ac:dyDescent="0.2">
      <c r="A10" t="s">
        <v>1</v>
      </c>
      <c r="B10" s="2">
        <v>0</v>
      </c>
      <c r="C10">
        <f>pxrciacopeau</f>
        <v>0.6</v>
      </c>
      <c r="D10" s="60">
        <f>B10*C10</f>
        <v>0</v>
      </c>
      <c r="G10" s="2">
        <v>0</v>
      </c>
      <c r="K10" t="s">
        <v>119</v>
      </c>
      <c r="L10" s="46">
        <f>'Calcul Devis Chutes EC + Lgt Sp'!AD10</f>
        <v>0</v>
      </c>
    </row>
    <row r="11" spans="1:14" x14ac:dyDescent="0.2">
      <c r="A11" t="s">
        <v>13</v>
      </c>
      <c r="B11" s="56">
        <f>B9+B10</f>
        <v>0</v>
      </c>
      <c r="D11" s="56">
        <f>D9+D10</f>
        <v>0</v>
      </c>
      <c r="G11" s="56">
        <v>0</v>
      </c>
      <c r="K11" t="s">
        <v>118</v>
      </c>
      <c r="L11">
        <f>pxmarlingot</f>
        <v>24.78</v>
      </c>
    </row>
    <row r="12" spans="1:14" x14ac:dyDescent="0.2">
      <c r="D12" s="61"/>
      <c r="K12" t="s">
        <v>120</v>
      </c>
      <c r="L12" s="46">
        <f>L5-L10</f>
        <v>625.70819778142288</v>
      </c>
    </row>
    <row r="13" spans="1:14" x14ac:dyDescent="0.2">
      <c r="A13" s="9" t="s">
        <v>52</v>
      </c>
      <c r="D13" s="61"/>
      <c r="K13" t="s">
        <v>121</v>
      </c>
      <c r="L13" s="3" t="e">
        <f>(L9*L10+L11*L12)/L14</f>
        <v>#DIV/0!</v>
      </c>
    </row>
    <row r="14" spans="1:14" x14ac:dyDescent="0.2">
      <c r="B14" s="1" t="s">
        <v>2</v>
      </c>
      <c r="D14" s="61"/>
      <c r="G14" s="1" t="s">
        <v>2</v>
      </c>
      <c r="K14" t="s">
        <v>122</v>
      </c>
      <c r="L14" s="46">
        <f>L12+L10</f>
        <v>625.70819778142288</v>
      </c>
    </row>
    <row r="15" spans="1:14" x14ac:dyDescent="0.2">
      <c r="A15" t="s">
        <v>0</v>
      </c>
      <c r="B15" s="2">
        <v>0</v>
      </c>
      <c r="C15">
        <f>pxnegmassif</f>
        <v>1</v>
      </c>
      <c r="D15" s="60">
        <f>B15*C15</f>
        <v>0</v>
      </c>
      <c r="G15" s="2">
        <v>0</v>
      </c>
    </row>
    <row r="16" spans="1:14" x14ac:dyDescent="0.2">
      <c r="A16" t="s">
        <v>1</v>
      </c>
      <c r="B16" s="2">
        <v>0</v>
      </c>
      <c r="C16">
        <f>pxnegcopeau</f>
        <v>0.6</v>
      </c>
      <c r="D16" s="60">
        <f>B16*C16</f>
        <v>0</v>
      </c>
      <c r="G16" s="2">
        <v>0</v>
      </c>
    </row>
    <row r="17" spans="1:7" x14ac:dyDescent="0.2">
      <c r="A17" t="s">
        <v>13</v>
      </c>
      <c r="B17" s="56">
        <f>B15+B16</f>
        <v>0</v>
      </c>
      <c r="D17" s="56">
        <f>D15+D16</f>
        <v>0</v>
      </c>
      <c r="G17" s="56">
        <v>0</v>
      </c>
    </row>
    <row r="18" spans="1:7" x14ac:dyDescent="0.2">
      <c r="B18" s="2"/>
      <c r="D18" s="61"/>
      <c r="G18" s="2"/>
    </row>
    <row r="19" spans="1:7" x14ac:dyDescent="0.2">
      <c r="A19" s="9" t="s">
        <v>4</v>
      </c>
      <c r="D19" s="61"/>
    </row>
    <row r="20" spans="1:7" x14ac:dyDescent="0.2">
      <c r="B20" s="1" t="s">
        <v>2</v>
      </c>
      <c r="D20" s="61"/>
      <c r="G20" s="1" t="s">
        <v>2</v>
      </c>
    </row>
    <row r="21" spans="1:7" x14ac:dyDescent="0.2">
      <c r="A21" t="s">
        <v>0</v>
      </c>
      <c r="B21" s="2">
        <v>265</v>
      </c>
      <c r="C21">
        <f>pxmarmassif</f>
        <v>4.8</v>
      </c>
      <c r="D21" s="60">
        <f>B21*C21</f>
        <v>1272</v>
      </c>
      <c r="G21" s="2">
        <v>878.88298324851587</v>
      </c>
    </row>
    <row r="22" spans="1:7" x14ac:dyDescent="0.2">
      <c r="A22" t="s">
        <v>1</v>
      </c>
      <c r="B22" s="2">
        <v>398</v>
      </c>
      <c r="C22">
        <f>pxmarcopeau</f>
        <v>2.9</v>
      </c>
      <c r="D22" s="60">
        <f>B22*C22</f>
        <v>1154.2</v>
      </c>
      <c r="G22" s="2">
        <v>1318.3244748727736</v>
      </c>
    </row>
    <row r="23" spans="1:7" x14ac:dyDescent="0.2">
      <c r="A23" t="s">
        <v>13</v>
      </c>
      <c r="B23" s="56">
        <f>B21+B22</f>
        <v>663</v>
      </c>
      <c r="D23" s="56">
        <f>D21+D22</f>
        <v>2426.1999999999998</v>
      </c>
      <c r="G23" s="56">
        <v>2197.2074581212896</v>
      </c>
    </row>
    <row r="26" spans="1:7" x14ac:dyDescent="0.2">
      <c r="A26" s="9" t="s">
        <v>50</v>
      </c>
    </row>
    <row r="27" spans="1:7" x14ac:dyDescent="0.2">
      <c r="B27" s="1" t="s">
        <v>2</v>
      </c>
    </row>
    <row r="28" spans="1:7" x14ac:dyDescent="0.2">
      <c r="A28" t="s">
        <v>48</v>
      </c>
      <c r="B28" s="56">
        <f>B3+B9+B15+B21</f>
        <v>265</v>
      </c>
      <c r="C28" s="64">
        <f>B28/B30</f>
        <v>0.39969834087481149</v>
      </c>
      <c r="D28" s="62">
        <f>D3+D9+D15+D21</f>
        <v>1272</v>
      </c>
    </row>
    <row r="29" spans="1:7" x14ac:dyDescent="0.2">
      <c r="A29" t="s">
        <v>49</v>
      </c>
      <c r="B29" s="56">
        <f>B4+B10+B16+B22</f>
        <v>398</v>
      </c>
      <c r="C29" s="64">
        <f>B29/B30</f>
        <v>0.60030165912518851</v>
      </c>
      <c r="D29" s="62">
        <f>D4+D10+D16+D22</f>
        <v>1154.2</v>
      </c>
    </row>
    <row r="30" spans="1:7" x14ac:dyDescent="0.2">
      <c r="A30" t="s">
        <v>50</v>
      </c>
      <c r="B30" s="56">
        <f>B28+B29</f>
        <v>663</v>
      </c>
      <c r="D30" s="56">
        <f>D28+D29</f>
        <v>2426.1999999999998</v>
      </c>
      <c r="G30" s="56">
        <v>4264.1739581212896</v>
      </c>
    </row>
    <row r="33" spans="1:4" x14ac:dyDescent="0.2">
      <c r="A33" s="9" t="s">
        <v>114</v>
      </c>
    </row>
    <row r="34" spans="1:4" x14ac:dyDescent="0.2">
      <c r="B34" s="1" t="s">
        <v>2</v>
      </c>
    </row>
    <row r="35" spans="1:4" x14ac:dyDescent="0.2">
      <c r="A35" t="s">
        <v>48</v>
      </c>
      <c r="B35" s="56">
        <f>B28-B21</f>
        <v>0</v>
      </c>
      <c r="D35" s="62">
        <f>D28-D21</f>
        <v>0</v>
      </c>
    </row>
    <row r="36" spans="1:4" x14ac:dyDescent="0.2">
      <c r="A36" t="s">
        <v>49</v>
      </c>
      <c r="B36" s="56">
        <f>B29-B22</f>
        <v>0</v>
      </c>
      <c r="D36" s="62">
        <f>D29-D22</f>
        <v>0</v>
      </c>
    </row>
    <row r="37" spans="1:4" x14ac:dyDescent="0.2">
      <c r="A37" t="s">
        <v>50</v>
      </c>
      <c r="B37" s="56">
        <f>B35+B36</f>
        <v>0</v>
      </c>
      <c r="D37" s="56">
        <f>D35+D36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M1" workbookViewId="0">
      <selection activeCell="P16" sqref="P16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8.425781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1336.3621119434222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Matières!B28</f>
        <v>265</v>
      </c>
      <c r="C8" s="46">
        <f>Matières!D28</f>
        <v>1272</v>
      </c>
      <c r="D8" s="10"/>
      <c r="E8" s="11" t="s">
        <v>59</v>
      </c>
      <c r="F8" s="3">
        <f>Rdtmassifs</f>
        <v>0.9</v>
      </c>
      <c r="G8" s="2">
        <f>F8*B8</f>
        <v>238.5</v>
      </c>
      <c r="H8" s="2">
        <f>((G8/F8)*(I29+I31)+(G8*I33))*parite</f>
        <v>437.60682939847999</v>
      </c>
      <c r="I8" s="10"/>
      <c r="J8" t="s">
        <v>0</v>
      </c>
      <c r="K8" s="2">
        <f>tmassifs-G8</f>
        <v>26.5</v>
      </c>
      <c r="L8" s="1"/>
      <c r="M8" s="10"/>
      <c r="N8" s="11" t="s">
        <v>72</v>
      </c>
      <c r="O8" s="2">
        <f>O12*0.9/O14</f>
        <v>122.04545454545455</v>
      </c>
      <c r="P8">
        <f>O8*pxeponge</f>
        <v>1656.6450000000002</v>
      </c>
      <c r="Q8" s="10"/>
      <c r="R8" t="s">
        <v>15</v>
      </c>
      <c r="S8" s="2">
        <f>cdfusion*AD10*parite</f>
        <v>1870.906956720791</v>
      </c>
      <c r="T8" s="10"/>
      <c r="U8" t="s">
        <v>15</v>
      </c>
      <c r="V8" s="2">
        <f>fgxfusion*AD10*parite</f>
        <v>930.03395013376121</v>
      </c>
      <c r="W8" s="10"/>
      <c r="X8" s="11" t="s">
        <v>97</v>
      </c>
      <c r="Z8" s="3">
        <f>G10+O12</f>
        <v>671.25</v>
      </c>
      <c r="AB8" s="10"/>
      <c r="AC8" t="s">
        <v>15</v>
      </c>
      <c r="AD8" s="2">
        <f>AD10*25</f>
        <v>15642.704944535571</v>
      </c>
    </row>
    <row r="9" spans="1:31" x14ac:dyDescent="0.2">
      <c r="A9" t="s">
        <v>49</v>
      </c>
      <c r="B9" s="46">
        <f>Matières!B29</f>
        <v>398</v>
      </c>
      <c r="C9" s="46">
        <f>Matières!D29</f>
        <v>1154.2</v>
      </c>
      <c r="D9" s="10"/>
      <c r="E9" t="s">
        <v>1</v>
      </c>
      <c r="F9">
        <f>Rdtcopeaux</f>
        <v>0.75</v>
      </c>
      <c r="G9" s="2">
        <f>F9*B9</f>
        <v>298.5</v>
      </c>
      <c r="H9" s="2">
        <f>((G9/F9)*(I28+I30)+G9*I32)*parite</f>
        <v>1018.5961888511858</v>
      </c>
      <c r="I9" s="10"/>
      <c r="J9" t="s">
        <v>1</v>
      </c>
      <c r="K9" s="2">
        <f>tcopeaux-G9</f>
        <v>99.5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3.3562500000000002</v>
      </c>
      <c r="Z9" s="3">
        <f>Z8-Y9</f>
        <v>667.89374999999995</v>
      </c>
      <c r="AB9" s="10"/>
    </row>
    <row r="10" spans="1:31" x14ac:dyDescent="0.2">
      <c r="A10" t="s">
        <v>50</v>
      </c>
      <c r="B10" s="2">
        <f>Matières!B30</f>
        <v>663</v>
      </c>
      <c r="C10" s="2">
        <f>Matières!D30</f>
        <v>2426.1999999999998</v>
      </c>
      <c r="D10" s="10"/>
      <c r="E10" t="s">
        <v>13</v>
      </c>
      <c r="G10" s="2">
        <f>SUM(G8:G9)</f>
        <v>537</v>
      </c>
      <c r="H10" s="2">
        <f>SUM(H8:H9)</f>
        <v>1456.2030182496658</v>
      </c>
      <c r="I10" s="10"/>
      <c r="J10" t="s">
        <v>13</v>
      </c>
      <c r="K10" s="2">
        <f>SUM(K8:K9)</f>
        <v>126</v>
      </c>
      <c r="L10">
        <f>K10*krecup*pxmarferroti</f>
        <v>249.98400000000004</v>
      </c>
      <c r="M10" s="10"/>
      <c r="N10" s="11" t="s">
        <v>73</v>
      </c>
      <c r="O10">
        <f>O12*0.1</f>
        <v>13.425000000000001</v>
      </c>
      <c r="P10">
        <f>O10*pxmasteral</f>
        <v>423.8169230769231</v>
      </c>
      <c r="Q10" s="10"/>
      <c r="T10" s="10"/>
      <c r="W10" s="10"/>
      <c r="X10" s="11" t="s">
        <v>103</v>
      </c>
      <c r="Y10">
        <f>Z9*ruplasma</f>
        <v>14.053212328081599</v>
      </c>
      <c r="Z10" s="3">
        <f>Z9-Y10</f>
        <v>653.84053767191836</v>
      </c>
      <c r="AB10" s="10"/>
      <c r="AC10" t="s">
        <v>21</v>
      </c>
      <c r="AD10" s="3">
        <f>0.932153739711617*(G10+O12)</f>
        <v>625.70819778142288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6.8870047170731015</v>
      </c>
      <c r="Z11" s="3">
        <f>Z10-Y11</f>
        <v>646.95353295484529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134.25</v>
      </c>
      <c r="P12">
        <f>P10+P8</f>
        <v>2080.4619230769231</v>
      </c>
      <c r="Q12" s="10"/>
      <c r="T12" s="10"/>
      <c r="W12" s="10"/>
      <c r="X12" s="11" t="s">
        <v>46</v>
      </c>
      <c r="Y12">
        <f>Z11*pertegalette</f>
        <v>12.765776761601717</v>
      </c>
      <c r="Z12" s="3">
        <f>Z11-Y12</f>
        <v>634.18775619324356</v>
      </c>
      <c r="AB12" s="10"/>
      <c r="AC12" s="11" t="s">
        <v>91</v>
      </c>
      <c r="AD12" s="7">
        <f>AD23+AE23</f>
        <v>18.828879107985742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8.4801107393244077</v>
      </c>
      <c r="Z13" s="3">
        <f>Z12-Y13</f>
        <v>625.7076454539191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100.80000000000001</v>
      </c>
      <c r="L14">
        <f>K14*pxmarferroti</f>
        <v>249.98400000000004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>
        <f>C25+H25+L25+P25+S25+V25+AA25</f>
        <v>12.795593412508905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42.186104546080827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671.25</v>
      </c>
      <c r="AD18">
        <f>AD10/AC18</f>
        <v>0.93215373971161697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33.748883636864662</v>
      </c>
      <c r="Z19" s="3"/>
      <c r="AA19" s="80">
        <f>Y19*pxmarferroti</f>
        <v>83.697231419424355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>
        <f>AD12-AD14</f>
        <v>6.0332856954768364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>
        <f>C25+H25+P25+S25+V25</f>
        <v>13.32887910798574</v>
      </c>
      <c r="AE23" s="69">
        <v>5.5</v>
      </c>
      <c r="AF23" s="82">
        <f>AE23</f>
        <v>5.5</v>
      </c>
      <c r="AG23">
        <f>AF23/1.4</f>
        <v>3.9285714285714288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>
        <f>L25+AA25</f>
        <v>-0.53328569547683702</v>
      </c>
    </row>
    <row r="25" spans="1:33" x14ac:dyDescent="0.2">
      <c r="A25" s="11" t="s">
        <v>60</v>
      </c>
      <c r="C25" s="7">
        <f>C10/AD10</f>
        <v>3.8775263111504548</v>
      </c>
      <c r="D25" s="16" t="s">
        <v>22</v>
      </c>
      <c r="H25" s="73">
        <f>H10/AD10</f>
        <v>2.3272877411754123</v>
      </c>
      <c r="I25" s="74" t="s">
        <v>22</v>
      </c>
      <c r="L25" s="7">
        <f>-L14/AD10</f>
        <v>-0.39952169539470594</v>
      </c>
      <c r="M25" s="16" t="s">
        <v>22</v>
      </c>
      <c r="P25" s="7">
        <f>P8/AD10</f>
        <v>2.6476319247118316</v>
      </c>
      <c r="Q25" s="16" t="s">
        <v>22</v>
      </c>
      <c r="S25" s="7">
        <f>S8/AD10</f>
        <v>2.9900630411339923</v>
      </c>
      <c r="T25" s="16" t="s">
        <v>22</v>
      </c>
      <c r="V25" s="7">
        <f>V8/AD10</f>
        <v>1.4863700898140506</v>
      </c>
      <c r="W25" s="16" t="s">
        <v>22</v>
      </c>
      <c r="AA25" s="7">
        <f>-AA19/AD10</f>
        <v>-0.1337640000821311</v>
      </c>
      <c r="AB25" s="16" t="s">
        <v>22</v>
      </c>
      <c r="AC25" s="11" t="s">
        <v>94</v>
      </c>
      <c r="AD25" s="69">
        <f>AD23+AD24</f>
        <v>12.795593412508904</v>
      </c>
      <c r="AE25" s="69"/>
      <c r="AF25" s="82">
        <v>6.4139999999999997</v>
      </c>
      <c r="AG25">
        <f>AF25/1.4</f>
        <v>4.5814285714285718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5" t="s">
        <v>6</v>
      </c>
      <c r="F28" s="85"/>
      <c r="G28" s="85"/>
      <c r="H28" s="85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5" t="s">
        <v>7</v>
      </c>
      <c r="F29" s="85"/>
      <c r="G29" s="85"/>
      <c r="H29" s="85"/>
      <c r="I29" s="4">
        <f>Pmassifs</f>
        <v>1.1255088099999999</v>
      </c>
      <c r="AC29" s="11"/>
      <c r="AE29" s="82"/>
    </row>
    <row r="30" spans="1:33" x14ac:dyDescent="0.2">
      <c r="D30" s="10"/>
      <c r="E30" s="85" t="s">
        <v>8</v>
      </c>
      <c r="F30" s="85"/>
      <c r="G30" s="85"/>
      <c r="H30" s="85"/>
      <c r="I30" s="5">
        <f>Tacopeaux</f>
        <v>0.11255088099999999</v>
      </c>
      <c r="O30" s="3"/>
    </row>
    <row r="31" spans="1:33" x14ac:dyDescent="0.2">
      <c r="D31" s="10"/>
      <c r="E31" s="85" t="s">
        <v>9</v>
      </c>
      <c r="F31" s="85"/>
      <c r="G31" s="85"/>
      <c r="H31" s="85"/>
      <c r="I31" s="5">
        <f>Tamassifs</f>
        <v>8.4413160749999994E-2</v>
      </c>
      <c r="N31" s="2"/>
      <c r="O31" s="2"/>
    </row>
    <row r="32" spans="1:33" x14ac:dyDescent="0.2">
      <c r="D32" s="10"/>
      <c r="E32" s="85" t="s">
        <v>10</v>
      </c>
      <c r="F32" s="85"/>
      <c r="G32" s="85"/>
      <c r="H32" s="85"/>
      <c r="I32" s="5">
        <f>Trcopeaux</f>
        <v>0.18758480166666663</v>
      </c>
    </row>
    <row r="33" spans="1:22" x14ac:dyDescent="0.2">
      <c r="D33" s="10"/>
      <c r="E33" s="85" t="s">
        <v>11</v>
      </c>
      <c r="F33" s="85"/>
      <c r="G33" s="85"/>
      <c r="H33" s="85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>
        <f>C25</f>
        <v>3.8775263111504548</v>
      </c>
      <c r="I46" s="21"/>
      <c r="J46" s="21"/>
      <c r="L46" s="26">
        <f t="shared" ref="L46:L52" si="0">IF(H46="",J46*parite,H46)</f>
        <v>3.8775263111504548</v>
      </c>
      <c r="M46" s="27"/>
      <c r="N46" s="28">
        <f t="shared" ref="N46:N52" si="1">IF(J46="",H46/parite,J46)</f>
        <v>2.9599437489698128</v>
      </c>
    </row>
    <row r="47" spans="1:22" ht="15" x14ac:dyDescent="0.25">
      <c r="G47" s="21" t="str">
        <f>E6</f>
        <v>Processing</v>
      </c>
      <c r="H47" s="24"/>
      <c r="I47" s="21"/>
      <c r="J47" s="25">
        <f>H25/parite</f>
        <v>1.7765555276148184</v>
      </c>
      <c r="L47" s="26">
        <f t="shared" si="0"/>
        <v>2.3272877411754123</v>
      </c>
      <c r="M47" s="27"/>
      <c r="N47" s="28">
        <f t="shared" si="1"/>
        <v>1.7765555276148184</v>
      </c>
    </row>
    <row r="48" spans="1:22" ht="15" x14ac:dyDescent="0.25">
      <c r="G48" s="21" t="str">
        <f>J6</f>
        <v>Vente perte du processing</v>
      </c>
      <c r="H48" s="23">
        <f>L25</f>
        <v>-0.39952169539470594</v>
      </c>
      <c r="I48" s="21"/>
      <c r="J48" s="24"/>
      <c r="L48" s="26">
        <f t="shared" si="0"/>
        <v>-0.39952169539470594</v>
      </c>
      <c r="M48" s="27"/>
      <c r="N48" s="28">
        <f t="shared" si="1"/>
        <v>-0.30497839343107325</v>
      </c>
    </row>
    <row r="49" spans="7:15" ht="15" x14ac:dyDescent="0.25">
      <c r="G49" s="21" t="str">
        <f>N6</f>
        <v>Matières Premières</v>
      </c>
      <c r="H49" s="23">
        <f>P25</f>
        <v>2.6476319247118316</v>
      </c>
      <c r="I49" s="21"/>
      <c r="J49" s="24"/>
      <c r="L49" s="26">
        <f t="shared" si="0"/>
        <v>2.6476319247118316</v>
      </c>
      <c r="M49" s="27"/>
      <c r="N49" s="28">
        <f t="shared" si="1"/>
        <v>2.0210930722991081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3.1183409859565434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1.4231542880364478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>
        <f>AA25</f>
        <v>-0.1337640000821311</v>
      </c>
      <c r="I52" s="21"/>
      <c r="J52" s="21"/>
      <c r="L52" s="26">
        <f t="shared" si="0"/>
        <v>-0.1337640000821311</v>
      </c>
      <c r="M52" s="27"/>
      <c r="N52" s="28">
        <f t="shared" si="1"/>
        <v>-0.10210992372681763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4.2313000000000001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>
        <f>SUM(L46:L50)+L52</f>
        <v>11.437501267517405</v>
      </c>
      <c r="M55" s="22"/>
      <c r="N55" s="28">
        <f>SUM(N46:N50)+N52</f>
        <v>8.7309169981048882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>
        <f>SUM(L46:L52)</f>
        <v>12.860655555553853</v>
      </c>
      <c r="M56" s="33"/>
      <c r="N56" s="35">
        <f>SUM(N46:N52)</f>
        <v>9.81729431721668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>
        <f>L56+L54</f>
        <v>17.091955555553852</v>
      </c>
      <c r="M57" s="37"/>
      <c r="N57" s="39">
        <f>N56+N54</f>
        <v>13.04729431721668</v>
      </c>
      <c r="O57" s="40">
        <f>(N57-N55)/N57</f>
        <v>0.33082547340225749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>
        <f>L56*K58</f>
        <v>16.525942388886701</v>
      </c>
      <c r="M58" s="42"/>
      <c r="N58" s="44">
        <f>N56*K58</f>
        <v>12.615223197623433</v>
      </c>
      <c r="O58" s="45">
        <f>(N58-N55)/N58</f>
        <v>0.30790626044970054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8"/>
  <sheetViews>
    <sheetView topLeftCell="Q4" workbookViewId="0">
      <selection activeCell="AD29" sqref="AD29"/>
    </sheetView>
  </sheetViews>
  <sheetFormatPr baseColWidth="10" defaultRowHeight="12.75" x14ac:dyDescent="0.2"/>
  <cols>
    <col min="1" max="1" width="16" customWidth="1"/>
    <col min="2" max="2" width="8.7109375" bestFit="1" customWidth="1"/>
    <col min="3" max="3" width="8.5703125" bestFit="1" customWidth="1"/>
    <col min="4" max="4" width="5.42578125" customWidth="1"/>
    <col min="5" max="5" width="8.5703125" customWidth="1"/>
    <col min="6" max="6" width="10.28515625" customWidth="1"/>
    <col min="7" max="7" width="11.7109375" customWidth="1"/>
    <col min="8" max="8" width="10.5703125" customWidth="1"/>
    <col min="9" max="9" width="7.42578125" customWidth="1"/>
    <col min="10" max="10" width="8.85546875" customWidth="1"/>
    <col min="11" max="11" width="8.5703125" customWidth="1"/>
    <col min="12" max="12" width="9.7109375" customWidth="1"/>
    <col min="13" max="13" width="4.28515625" customWidth="1"/>
    <col min="14" max="14" width="16.85546875" customWidth="1"/>
    <col min="15" max="15" width="7.5703125" bestFit="1" customWidth="1"/>
    <col min="16" max="16" width="8.5703125" customWidth="1"/>
    <col min="17" max="17" width="4.140625" customWidth="1"/>
    <col min="18" max="18" width="8.28515625" customWidth="1"/>
    <col min="19" max="19" width="8.5703125" bestFit="1" customWidth="1"/>
    <col min="20" max="20" width="4.7109375" customWidth="1"/>
    <col min="21" max="21" width="8.5703125" customWidth="1"/>
    <col min="22" max="22" width="7.5703125" bestFit="1" customWidth="1"/>
    <col min="23" max="23" width="4.140625" customWidth="1"/>
    <col min="24" max="24" width="13.140625" customWidth="1"/>
    <col min="25" max="26" width="7.7109375" customWidth="1"/>
    <col min="27" max="27" width="7.5703125" bestFit="1" customWidth="1"/>
    <col min="28" max="28" width="4.42578125" customWidth="1"/>
    <col min="29" max="29" width="26" customWidth="1"/>
    <col min="30" max="30" width="9.5703125" bestFit="1" customWidth="1"/>
  </cols>
  <sheetData>
    <row r="1" spans="1:31" ht="26.25" x14ac:dyDescent="0.4">
      <c r="A1" s="8" t="s">
        <v>20</v>
      </c>
    </row>
    <row r="2" spans="1:31" x14ac:dyDescent="0.2">
      <c r="S2">
        <f>S8/1.4</f>
        <v>0</v>
      </c>
    </row>
    <row r="3" spans="1:31" x14ac:dyDescent="0.2">
      <c r="P3" s="2"/>
    </row>
    <row r="6" spans="1:31" x14ac:dyDescent="0.2">
      <c r="A6" s="9" t="s">
        <v>50</v>
      </c>
      <c r="D6" s="10"/>
      <c r="E6" s="9" t="s">
        <v>5</v>
      </c>
      <c r="F6" s="9"/>
      <c r="I6" s="10"/>
      <c r="J6" s="9" t="s">
        <v>12</v>
      </c>
      <c r="M6" s="10"/>
      <c r="N6" s="9" t="s">
        <v>23</v>
      </c>
      <c r="Q6" s="10"/>
      <c r="R6" s="9" t="s">
        <v>14</v>
      </c>
      <c r="T6" s="10"/>
      <c r="U6" s="9" t="s">
        <v>16</v>
      </c>
      <c r="W6" s="10"/>
      <c r="X6" s="9" t="s">
        <v>17</v>
      </c>
      <c r="Y6" s="9"/>
      <c r="Z6" s="9"/>
      <c r="AB6" s="10"/>
      <c r="AC6" s="9" t="s">
        <v>18</v>
      </c>
    </row>
    <row r="7" spans="1:31" x14ac:dyDescent="0.2">
      <c r="B7" s="1" t="s">
        <v>2</v>
      </c>
      <c r="C7" s="1" t="s">
        <v>3</v>
      </c>
      <c r="D7" s="10"/>
      <c r="F7" s="1" t="s">
        <v>47</v>
      </c>
      <c r="G7" s="1" t="s">
        <v>2</v>
      </c>
      <c r="H7" s="1" t="s">
        <v>3</v>
      </c>
      <c r="I7" s="10"/>
      <c r="K7" s="1" t="s">
        <v>2</v>
      </c>
      <c r="L7" s="1" t="s">
        <v>3</v>
      </c>
      <c r="M7" s="10"/>
      <c r="O7" s="1" t="s">
        <v>2</v>
      </c>
      <c r="P7" s="1" t="s">
        <v>3</v>
      </c>
      <c r="Q7" s="10"/>
      <c r="S7" s="1" t="s">
        <v>3</v>
      </c>
      <c r="T7" s="10"/>
      <c r="V7" s="1" t="s">
        <v>3</v>
      </c>
      <c r="W7" s="10"/>
      <c r="Y7" t="s">
        <v>102</v>
      </c>
      <c r="Z7" s="11" t="s">
        <v>101</v>
      </c>
      <c r="AA7" s="1" t="s">
        <v>3</v>
      </c>
      <c r="AB7" s="10"/>
      <c r="AD7" s="1" t="s">
        <v>3</v>
      </c>
    </row>
    <row r="8" spans="1:31" x14ac:dyDescent="0.2">
      <c r="A8" t="s">
        <v>48</v>
      </c>
      <c r="B8" s="46">
        <f>Matières!B35</f>
        <v>0</v>
      </c>
      <c r="C8" s="46">
        <f>Matières!D35</f>
        <v>0</v>
      </c>
      <c r="D8" s="10"/>
      <c r="E8" s="11" t="s">
        <v>59</v>
      </c>
      <c r="F8" s="3">
        <f>Rdtmassifs</f>
        <v>0.9</v>
      </c>
      <c r="G8" s="2">
        <f>F8*B8</f>
        <v>0</v>
      </c>
      <c r="H8" s="2">
        <f>((G8/F8)*(I29+I31)+(G8*I33))*parite</f>
        <v>0</v>
      </c>
      <c r="I8" s="10"/>
      <c r="J8" t="s">
        <v>0</v>
      </c>
      <c r="K8" s="2">
        <f>tmassifs-G8</f>
        <v>0</v>
      </c>
      <c r="L8" s="1"/>
      <c r="M8" s="10"/>
      <c r="N8" s="11" t="s">
        <v>72</v>
      </c>
      <c r="O8" s="2">
        <f>O12*0.9/O14</f>
        <v>0</v>
      </c>
      <c r="P8">
        <f>O8*pxeponge</f>
        <v>0</v>
      </c>
      <c r="Q8" s="10"/>
      <c r="R8" t="s">
        <v>15</v>
      </c>
      <c r="S8" s="2">
        <f>cdfusion*AD10*parite</f>
        <v>0</v>
      </c>
      <c r="T8" s="10"/>
      <c r="U8" t="s">
        <v>15</v>
      </c>
      <c r="V8" s="2">
        <f>fgxfusion*AD10*parite</f>
        <v>0</v>
      </c>
      <c r="W8" s="10"/>
      <c r="X8" s="11" t="s">
        <v>97</v>
      </c>
      <c r="Z8" s="3">
        <f>G10+O12</f>
        <v>0</v>
      </c>
      <c r="AB8" s="10"/>
      <c r="AC8" t="s">
        <v>15</v>
      </c>
      <c r="AD8" s="2">
        <f>AD10*25</f>
        <v>0</v>
      </c>
    </row>
    <row r="9" spans="1:31" x14ac:dyDescent="0.2">
      <c r="A9" t="s">
        <v>49</v>
      </c>
      <c r="B9" s="46">
        <f>Matières!B36</f>
        <v>0</v>
      </c>
      <c r="C9" s="46">
        <f>Matières!D36</f>
        <v>0</v>
      </c>
      <c r="D9" s="10"/>
      <c r="E9" t="s">
        <v>1</v>
      </c>
      <c r="F9">
        <f>Rdtcopeaux</f>
        <v>0.75</v>
      </c>
      <c r="G9" s="2">
        <f>F9*B9</f>
        <v>0</v>
      </c>
      <c r="H9" s="2">
        <f>((G9/F9)*(I28+I30)+G9*I32)*parite</f>
        <v>0</v>
      </c>
      <c r="I9" s="10"/>
      <c r="J9" t="s">
        <v>1</v>
      </c>
      <c r="K9" s="2">
        <f>tcopeaux-G9</f>
        <v>0</v>
      </c>
      <c r="L9" s="1"/>
      <c r="M9" s="10"/>
      <c r="O9" s="1"/>
      <c r="P9" s="1"/>
      <c r="Q9" s="10"/>
      <c r="T9" s="10"/>
      <c r="W9" s="10"/>
      <c r="X9" s="11" t="s">
        <v>98</v>
      </c>
      <c r="Y9">
        <f>Z8*0.005</f>
        <v>0</v>
      </c>
      <c r="Z9" s="3">
        <f>Z8-Y9</f>
        <v>0</v>
      </c>
      <c r="AB9" s="10"/>
    </row>
    <row r="10" spans="1:31" x14ac:dyDescent="0.2">
      <c r="A10" t="s">
        <v>50</v>
      </c>
      <c r="B10" s="46">
        <f>Matières!B37</f>
        <v>0</v>
      </c>
      <c r="C10" s="46">
        <f>Matières!D37</f>
        <v>0</v>
      </c>
      <c r="D10" s="10"/>
      <c r="E10" t="s">
        <v>13</v>
      </c>
      <c r="G10" s="2">
        <f>SUM(G8:G9)</f>
        <v>0</v>
      </c>
      <c r="H10" s="2">
        <f>SUM(H8:H9)</f>
        <v>0</v>
      </c>
      <c r="I10" s="10"/>
      <c r="J10" t="s">
        <v>13</v>
      </c>
      <c r="K10" s="2">
        <f>SUM(K8:K9)</f>
        <v>0</v>
      </c>
      <c r="L10">
        <f>K10*krecup*pxmarferroti</f>
        <v>0</v>
      </c>
      <c r="M10" s="10"/>
      <c r="N10" s="11" t="s">
        <v>73</v>
      </c>
      <c r="O10">
        <f>O12*0.1</f>
        <v>0</v>
      </c>
      <c r="P10">
        <f>O10*pxmasteral</f>
        <v>0</v>
      </c>
      <c r="Q10" s="10"/>
      <c r="T10" s="10"/>
      <c r="W10" s="10"/>
      <c r="X10" s="11" t="s">
        <v>103</v>
      </c>
      <c r="Y10">
        <f>Z9*ruplasma</f>
        <v>0</v>
      </c>
      <c r="Z10" s="3">
        <f>Z9-Y10</f>
        <v>0</v>
      </c>
      <c r="AB10" s="10"/>
      <c r="AC10" t="s">
        <v>21</v>
      </c>
      <c r="AD10" s="3">
        <f>0.932153739711617*(G10+O12)</f>
        <v>0</v>
      </c>
    </row>
    <row r="11" spans="1:31" x14ac:dyDescent="0.2">
      <c r="D11" s="10"/>
      <c r="I11" s="10"/>
      <c r="K11" s="3"/>
      <c r="M11" s="10"/>
      <c r="Q11" s="10"/>
      <c r="T11" s="10"/>
      <c r="W11" s="10"/>
      <c r="X11" s="11" t="s">
        <v>104</v>
      </c>
      <c r="Y11">
        <f>ruvar*Z10</f>
        <v>0</v>
      </c>
      <c r="Z11" s="3">
        <f>Z10-Y11</f>
        <v>0</v>
      </c>
      <c r="AB11" s="10"/>
    </row>
    <row r="12" spans="1:31" x14ac:dyDescent="0.2">
      <c r="A12" s="9"/>
      <c r="D12" s="10"/>
      <c r="I12" s="10"/>
      <c r="J12" s="11" t="s">
        <v>70</v>
      </c>
      <c r="L12" s="64">
        <f>krecup</f>
        <v>0.8</v>
      </c>
      <c r="M12" s="10"/>
      <c r="N12" s="11" t="s">
        <v>76</v>
      </c>
      <c r="O12" s="3">
        <f>G10*0.25</f>
        <v>0</v>
      </c>
      <c r="P12">
        <f>P10+P8</f>
        <v>0</v>
      </c>
      <c r="Q12" s="10"/>
      <c r="T12" s="10"/>
      <c r="W12" s="10"/>
      <c r="X12" s="11" t="s">
        <v>46</v>
      </c>
      <c r="Y12">
        <f>Z11*pertegalette</f>
        <v>0</v>
      </c>
      <c r="Z12" s="3">
        <f>Z11-Y12</f>
        <v>0</v>
      </c>
      <c r="AB12" s="10"/>
      <c r="AC12" s="11" t="s">
        <v>91</v>
      </c>
      <c r="AD12" s="7" t="e">
        <f>AD23+AE23</f>
        <v>#DIV/0!</v>
      </c>
      <c r="AE12" t="s">
        <v>22</v>
      </c>
    </row>
    <row r="13" spans="1:31" x14ac:dyDescent="0.2">
      <c r="B13" s="1"/>
      <c r="C13" s="1"/>
      <c r="D13" s="10"/>
      <c r="I13" s="10"/>
      <c r="M13" s="10"/>
      <c r="Q13" s="10"/>
      <c r="T13" s="10"/>
      <c r="W13" s="10"/>
      <c r="X13" s="11" t="s">
        <v>106</v>
      </c>
      <c r="Y13">
        <f>Z12*perteecroutage</f>
        <v>0</v>
      </c>
      <c r="Z13" s="3">
        <f>Z12-Y13</f>
        <v>0</v>
      </c>
      <c r="AB13" s="10"/>
    </row>
    <row r="14" spans="1:31" x14ac:dyDescent="0.2">
      <c r="B14" s="2"/>
      <c r="C14" s="2"/>
      <c r="D14" s="10"/>
      <c r="G14" s="47"/>
      <c r="I14" s="10"/>
      <c r="J14" s="11" t="s">
        <v>19</v>
      </c>
      <c r="K14">
        <f>K10*L12</f>
        <v>0</v>
      </c>
      <c r="L14">
        <f>K14*pxmarferroti</f>
        <v>0</v>
      </c>
      <c r="M14" s="10"/>
      <c r="N14" s="11" t="s">
        <v>80</v>
      </c>
      <c r="O14" s="64">
        <f>partepongex</f>
        <v>0.99</v>
      </c>
      <c r="Q14" s="10"/>
      <c r="T14" s="10"/>
      <c r="W14" s="10"/>
      <c r="X14" s="11"/>
      <c r="AB14" s="10"/>
      <c r="AD14" s="69" t="e">
        <f>C25+H25+L25+P25+S25+V25+AA25</f>
        <v>#DIV/0!</v>
      </c>
    </row>
    <row r="15" spans="1:31" x14ac:dyDescent="0.2">
      <c r="B15" s="2"/>
      <c r="C15" s="2"/>
      <c r="D15" s="10"/>
      <c r="G15" s="3"/>
      <c r="I15" s="10"/>
      <c r="M15" s="10"/>
      <c r="O15" s="3"/>
      <c r="Q15" s="10"/>
      <c r="T15" s="10"/>
      <c r="W15" s="10"/>
      <c r="X15" s="11"/>
      <c r="AB15" s="10"/>
    </row>
    <row r="16" spans="1:31" x14ac:dyDescent="0.2">
      <c r="B16" s="2"/>
      <c r="C16" s="2"/>
      <c r="D16" s="10"/>
      <c r="G16" s="3"/>
      <c r="I16" s="10"/>
      <c r="M16" s="10"/>
      <c r="Q16" s="10"/>
      <c r="T16" s="10"/>
      <c r="W16" s="10"/>
      <c r="AB16" s="10"/>
      <c r="AD16">
        <v>0.93215373971161697</v>
      </c>
    </row>
    <row r="17" spans="1:33" x14ac:dyDescent="0.2">
      <c r="D17" s="10"/>
      <c r="I17" s="10"/>
      <c r="M17" s="10"/>
      <c r="N17" s="2"/>
      <c r="Q17" s="10"/>
      <c r="T17" s="10"/>
      <c r="W17" s="10"/>
      <c r="X17" t="s">
        <v>37</v>
      </c>
      <c r="Y17" s="11">
        <f>SUM(Y10:Y13)</f>
        <v>0</v>
      </c>
      <c r="AB17" s="10"/>
    </row>
    <row r="18" spans="1:33" x14ac:dyDescent="0.2">
      <c r="A18" s="9"/>
      <c r="D18" s="10"/>
      <c r="I18" s="10"/>
      <c r="M18" s="10"/>
      <c r="Q18" s="10"/>
      <c r="T18" s="10"/>
      <c r="W18" s="10"/>
      <c r="X18" s="11" t="s">
        <v>70</v>
      </c>
      <c r="Y18" s="64">
        <f>krecup</f>
        <v>0.8</v>
      </c>
      <c r="Z18" s="68"/>
      <c r="AB18" s="10"/>
      <c r="AC18" s="3">
        <f>G10+O12</f>
        <v>0</v>
      </c>
      <c r="AD18" t="e">
        <f>AD10/AC18</f>
        <v>#DIV/0!</v>
      </c>
    </row>
    <row r="19" spans="1:33" x14ac:dyDescent="0.2">
      <c r="B19" s="1"/>
      <c r="C19" s="1"/>
      <c r="D19" s="10"/>
      <c r="I19" s="10"/>
      <c r="M19" s="10"/>
      <c r="Q19" s="10"/>
      <c r="T19" s="10"/>
      <c r="W19" s="10"/>
      <c r="X19" t="s">
        <v>15</v>
      </c>
      <c r="Y19" s="3">
        <f>Y17*Y18</f>
        <v>0</v>
      </c>
      <c r="Z19" s="3"/>
      <c r="AA19" s="80">
        <f>Y19*pxmarferroti</f>
        <v>0</v>
      </c>
      <c r="AB19" s="10"/>
    </row>
    <row r="20" spans="1:33" x14ac:dyDescent="0.2">
      <c r="B20" s="2"/>
      <c r="C20" s="2"/>
      <c r="D20" s="10"/>
      <c r="I20" s="10"/>
      <c r="M20" s="10"/>
      <c r="Q20" s="10"/>
      <c r="T20" s="10"/>
      <c r="W20" s="10"/>
      <c r="AB20" s="10"/>
      <c r="AC20" s="11" t="s">
        <v>78</v>
      </c>
      <c r="AD20" s="69" t="e">
        <f>AD12-AD14</f>
        <v>#DIV/0!</v>
      </c>
    </row>
    <row r="21" spans="1:33" x14ac:dyDescent="0.2">
      <c r="B21" s="2"/>
      <c r="C21" s="2"/>
      <c r="D21" s="10"/>
      <c r="I21" s="10"/>
      <c r="M21" s="10"/>
      <c r="Q21" s="10"/>
      <c r="T21" s="10"/>
      <c r="W21" s="10"/>
      <c r="Y21" s="3"/>
      <c r="Z21" s="3"/>
      <c r="AB21" s="10"/>
    </row>
    <row r="22" spans="1:33" x14ac:dyDescent="0.2">
      <c r="B22" s="2"/>
      <c r="C22" s="2"/>
      <c r="D22" s="10"/>
      <c r="I22" s="10"/>
      <c r="M22" s="10"/>
      <c r="Q22" s="10"/>
      <c r="T22" s="10"/>
      <c r="W22" s="10"/>
      <c r="AB22" s="10"/>
      <c r="AF22" s="11" t="s">
        <v>95</v>
      </c>
      <c r="AG22" s="11" t="s">
        <v>96</v>
      </c>
    </row>
    <row r="23" spans="1:33" ht="25.5" x14ac:dyDescent="0.2">
      <c r="B23" s="2"/>
      <c r="C23" s="2"/>
      <c r="D23" s="10"/>
      <c r="I23" s="10"/>
      <c r="M23" s="10"/>
      <c r="Q23" s="10"/>
      <c r="T23" s="10"/>
      <c r="W23" s="10"/>
      <c r="AB23" s="10"/>
      <c r="AC23" s="81" t="s">
        <v>92</v>
      </c>
      <c r="AD23" s="82" t="e">
        <f>C25+H25+P25+S25+V25</f>
        <v>#DIV/0!</v>
      </c>
      <c r="AE23" s="69">
        <v>5.5</v>
      </c>
      <c r="AF23" s="82">
        <f>AE23</f>
        <v>5.5</v>
      </c>
      <c r="AG23">
        <f>AF23/1.4</f>
        <v>3.9285714285714288</v>
      </c>
    </row>
    <row r="24" spans="1:33" x14ac:dyDescent="0.2">
      <c r="A24" s="9"/>
      <c r="D24" s="10"/>
      <c r="I24" s="10"/>
      <c r="M24" s="10"/>
      <c r="Q24" s="10"/>
      <c r="T24" s="10"/>
      <c r="W24" s="10"/>
      <c r="AB24" s="10"/>
      <c r="AC24" s="9" t="s">
        <v>93</v>
      </c>
      <c r="AD24" s="82" t="e">
        <f>L25+AA25</f>
        <v>#DIV/0!</v>
      </c>
    </row>
    <row r="25" spans="1:33" x14ac:dyDescent="0.2">
      <c r="A25" s="11" t="s">
        <v>60</v>
      </c>
      <c r="C25" s="7" t="e">
        <f>C10/AD10</f>
        <v>#DIV/0!</v>
      </c>
      <c r="D25" s="16" t="s">
        <v>22</v>
      </c>
      <c r="H25" s="73" t="e">
        <f>H10/AD10</f>
        <v>#DIV/0!</v>
      </c>
      <c r="I25" s="74" t="s">
        <v>22</v>
      </c>
      <c r="L25" s="7" t="e">
        <f>-L14/AD10</f>
        <v>#DIV/0!</v>
      </c>
      <c r="M25" s="16" t="s">
        <v>22</v>
      </c>
      <c r="P25" s="7" t="e">
        <f>P8/AD10</f>
        <v>#DIV/0!</v>
      </c>
      <c r="Q25" s="16" t="s">
        <v>22</v>
      </c>
      <c r="S25" s="7" t="e">
        <f>S8/AD10</f>
        <v>#DIV/0!</v>
      </c>
      <c r="T25" s="16" t="s">
        <v>22</v>
      </c>
      <c r="V25" s="7" t="e">
        <f>V8/AD10</f>
        <v>#DIV/0!</v>
      </c>
      <c r="W25" s="16" t="s">
        <v>22</v>
      </c>
      <c r="AA25" s="7" t="e">
        <f>-AA19/AD10</f>
        <v>#DIV/0!</v>
      </c>
      <c r="AB25" s="16" t="s">
        <v>22</v>
      </c>
      <c r="AC25" s="11" t="s">
        <v>94</v>
      </c>
      <c r="AD25" s="69" t="e">
        <f>AD23+AD24</f>
        <v>#DIV/0!</v>
      </c>
      <c r="AE25" s="69"/>
      <c r="AF25" s="82">
        <v>6.4139999999999997</v>
      </c>
      <c r="AG25">
        <f>AF25/1.4</f>
        <v>4.5814285714285718</v>
      </c>
    </row>
    <row r="26" spans="1:33" x14ac:dyDescent="0.2">
      <c r="B26" s="2"/>
      <c r="C26" s="2"/>
      <c r="D26" s="10"/>
      <c r="I26" s="10"/>
      <c r="M26" s="10"/>
      <c r="Q26" s="10"/>
      <c r="T26" s="10"/>
      <c r="W26" s="10"/>
      <c r="AB26" s="10"/>
      <c r="AF26" s="82"/>
      <c r="AG26" s="82"/>
    </row>
    <row r="27" spans="1:33" x14ac:dyDescent="0.2">
      <c r="B27" s="2"/>
      <c r="C27" s="2"/>
      <c r="D27" s="10"/>
      <c r="I27" s="10"/>
      <c r="M27" s="10"/>
      <c r="Q27" s="10"/>
      <c r="T27" s="10"/>
      <c r="W27" s="10"/>
      <c r="AB27" s="10"/>
    </row>
    <row r="28" spans="1:33" x14ac:dyDescent="0.2">
      <c r="B28" s="2"/>
      <c r="C28" s="2"/>
      <c r="D28" s="10"/>
      <c r="E28" s="85" t="s">
        <v>6</v>
      </c>
      <c r="F28" s="85"/>
      <c r="G28" s="85"/>
      <c r="H28" s="85"/>
      <c r="I28" s="4">
        <f>PCopeaux</f>
        <v>1.7004146449723441</v>
      </c>
      <c r="AC28" s="11"/>
      <c r="AE28" s="82"/>
      <c r="AF28" s="82"/>
      <c r="AG28" s="82"/>
    </row>
    <row r="29" spans="1:33" x14ac:dyDescent="0.2">
      <c r="D29" s="10"/>
      <c r="E29" s="85" t="s">
        <v>7</v>
      </c>
      <c r="F29" s="85"/>
      <c r="G29" s="85"/>
      <c r="H29" s="85"/>
      <c r="I29" s="4">
        <f>Pmassifs</f>
        <v>1.1255088099999999</v>
      </c>
      <c r="AC29" s="11"/>
      <c r="AE29" s="82"/>
    </row>
    <row r="30" spans="1:33" x14ac:dyDescent="0.2">
      <c r="D30" s="10"/>
      <c r="E30" s="85" t="s">
        <v>8</v>
      </c>
      <c r="F30" s="85"/>
      <c r="G30" s="85"/>
      <c r="H30" s="85"/>
      <c r="I30" s="5">
        <f>Tacopeaux</f>
        <v>0.11255088099999999</v>
      </c>
      <c r="O30" s="3"/>
    </row>
    <row r="31" spans="1:33" x14ac:dyDescent="0.2">
      <c r="D31" s="10"/>
      <c r="E31" s="85" t="s">
        <v>9</v>
      </c>
      <c r="F31" s="85"/>
      <c r="G31" s="85"/>
      <c r="H31" s="85"/>
      <c r="I31" s="5">
        <f>Tamassifs</f>
        <v>8.4413160749999994E-2</v>
      </c>
      <c r="N31" s="2"/>
      <c r="O31" s="2"/>
    </row>
    <row r="32" spans="1:33" x14ac:dyDescent="0.2">
      <c r="D32" s="10"/>
      <c r="E32" s="85" t="s">
        <v>10</v>
      </c>
      <c r="F32" s="85"/>
      <c r="G32" s="85"/>
      <c r="H32" s="85"/>
      <c r="I32" s="5">
        <f>Trcopeaux</f>
        <v>0.18758480166666663</v>
      </c>
    </row>
    <row r="33" spans="1:22" x14ac:dyDescent="0.2">
      <c r="D33" s="10"/>
      <c r="E33" s="85" t="s">
        <v>11</v>
      </c>
      <c r="F33" s="85"/>
      <c r="G33" s="85"/>
      <c r="H33" s="85"/>
      <c r="I33" s="5">
        <f>Trmassifs</f>
        <v>5.6275440499999996E-2</v>
      </c>
    </row>
    <row r="34" spans="1:22" x14ac:dyDescent="0.2">
      <c r="D34" s="10"/>
    </row>
    <row r="35" spans="1:22" x14ac:dyDescent="0.2">
      <c r="D35" s="10"/>
    </row>
    <row r="36" spans="1:22" x14ac:dyDescent="0.2">
      <c r="D36" s="10"/>
      <c r="N36" s="3"/>
    </row>
    <row r="37" spans="1:22" x14ac:dyDescent="0.2">
      <c r="N37" s="3"/>
    </row>
    <row r="38" spans="1:22" x14ac:dyDescent="0.2">
      <c r="N38" s="3"/>
      <c r="R38" s="17"/>
      <c r="U38" s="3"/>
    </row>
    <row r="39" spans="1:22" x14ac:dyDescent="0.2">
      <c r="U39" s="3"/>
      <c r="V39" s="6"/>
    </row>
    <row r="42" spans="1:22" x14ac:dyDescent="0.2">
      <c r="A42" t="s">
        <v>0</v>
      </c>
      <c r="B42" s="19">
        <v>5.7</v>
      </c>
      <c r="D42">
        <v>5.65</v>
      </c>
      <c r="G42" s="18"/>
    </row>
    <row r="43" spans="1:22" x14ac:dyDescent="0.2">
      <c r="A43" t="s">
        <v>1</v>
      </c>
      <c r="B43" s="19">
        <v>3.12</v>
      </c>
      <c r="D43">
        <v>3.09</v>
      </c>
      <c r="G43" s="18"/>
    </row>
    <row r="44" spans="1:22" x14ac:dyDescent="0.2">
      <c r="A44" t="s">
        <v>45</v>
      </c>
      <c r="B44" s="19">
        <v>2.7</v>
      </c>
      <c r="G44" s="18"/>
      <c r="H44" t="s">
        <v>22</v>
      </c>
      <c r="J44" t="s">
        <v>38</v>
      </c>
      <c r="L44" t="s">
        <v>22</v>
      </c>
      <c r="N44" t="s">
        <v>38</v>
      </c>
    </row>
    <row r="46" spans="1:22" ht="15" x14ac:dyDescent="0.25">
      <c r="G46" s="21" t="s">
        <v>37</v>
      </c>
      <c r="H46" s="23" t="e">
        <f>C25</f>
        <v>#DIV/0!</v>
      </c>
      <c r="I46" s="21"/>
      <c r="J46" s="21"/>
      <c r="L46" s="26" t="e">
        <f t="shared" ref="L46:L52" si="0">IF(H46="",J46*parite,H46)</f>
        <v>#DIV/0!</v>
      </c>
      <c r="M46" s="27"/>
      <c r="N46" s="28" t="e">
        <f t="shared" ref="N46:N52" si="1">IF(J46="",H46/parite,J46)</f>
        <v>#DIV/0!</v>
      </c>
    </row>
    <row r="47" spans="1:22" ht="15" x14ac:dyDescent="0.25">
      <c r="G47" s="21" t="str">
        <f>E6</f>
        <v>Processing</v>
      </c>
      <c r="H47" s="24"/>
      <c r="I47" s="21"/>
      <c r="J47" s="25" t="e">
        <f>H25/parite</f>
        <v>#DIV/0!</v>
      </c>
      <c r="L47" s="26" t="e">
        <f t="shared" si="0"/>
        <v>#DIV/0!</v>
      </c>
      <c r="M47" s="27"/>
      <c r="N47" s="28" t="e">
        <f t="shared" si="1"/>
        <v>#DIV/0!</v>
      </c>
    </row>
    <row r="48" spans="1:22" ht="15" x14ac:dyDescent="0.25">
      <c r="G48" s="21" t="str">
        <f>J6</f>
        <v>Vente perte du processing</v>
      </c>
      <c r="H48" s="23" t="e">
        <f>L25</f>
        <v>#DIV/0!</v>
      </c>
      <c r="I48" s="21"/>
      <c r="J48" s="24"/>
      <c r="L48" s="26" t="e">
        <f t="shared" si="0"/>
        <v>#DIV/0!</v>
      </c>
      <c r="M48" s="27"/>
      <c r="N48" s="28" t="e">
        <f t="shared" si="1"/>
        <v>#DIV/0!</v>
      </c>
    </row>
    <row r="49" spans="7:15" ht="15" x14ac:dyDescent="0.25">
      <c r="G49" s="21" t="str">
        <f>N6</f>
        <v>Matières Premières</v>
      </c>
      <c r="H49" s="23" t="e">
        <f>P25</f>
        <v>#DIV/0!</v>
      </c>
      <c r="I49" s="21"/>
      <c r="J49" s="24"/>
      <c r="L49" s="26" t="e">
        <f t="shared" si="0"/>
        <v>#DIV/0!</v>
      </c>
      <c r="M49" s="27"/>
      <c r="N49" s="28" t="e">
        <f t="shared" si="1"/>
        <v>#DIV/0!</v>
      </c>
    </row>
    <row r="50" spans="7:15" ht="15" x14ac:dyDescent="0.25">
      <c r="G50" s="21" t="str">
        <f>R6</f>
        <v>CD</v>
      </c>
      <c r="H50" s="24"/>
      <c r="I50" s="21"/>
      <c r="J50" s="25">
        <v>2.3804129663790405</v>
      </c>
      <c r="L50" s="26">
        <f t="shared" si="0"/>
        <v>3.1183409859565434</v>
      </c>
      <c r="M50" s="27"/>
      <c r="N50" s="28">
        <f t="shared" si="1"/>
        <v>2.3804129663790405</v>
      </c>
    </row>
    <row r="51" spans="7:15" ht="15" x14ac:dyDescent="0.25">
      <c r="G51" s="21" t="str">
        <f>U6</f>
        <v>FGx</v>
      </c>
      <c r="H51" s="24"/>
      <c r="I51" s="21"/>
      <c r="J51" s="25">
        <v>1.0863773191117923</v>
      </c>
      <c r="L51" s="26">
        <f t="shared" si="0"/>
        <v>1.4231542880364478</v>
      </c>
      <c r="M51" s="27"/>
      <c r="N51" s="28">
        <f t="shared" si="1"/>
        <v>1.0863773191117923</v>
      </c>
    </row>
    <row r="52" spans="7:15" ht="15" x14ac:dyDescent="0.25">
      <c r="G52" s="21" t="str">
        <f>X6</f>
        <v>Vente chutes</v>
      </c>
      <c r="H52" s="23" t="e">
        <f>AA25</f>
        <v>#DIV/0!</v>
      </c>
      <c r="I52" s="21"/>
      <c r="J52" s="21"/>
      <c r="L52" s="26" t="e">
        <f t="shared" si="0"/>
        <v>#DIV/0!</v>
      </c>
      <c r="M52" s="27"/>
      <c r="N52" s="28" t="e">
        <f t="shared" si="1"/>
        <v>#DIV/0!</v>
      </c>
    </row>
    <row r="53" spans="7:15" ht="13.5" thickBot="1" x14ac:dyDescent="0.25">
      <c r="H53" s="19"/>
      <c r="O53" t="s">
        <v>44</v>
      </c>
    </row>
    <row r="54" spans="7:15" ht="16.5" thickTop="1" thickBot="1" x14ac:dyDescent="0.3">
      <c r="G54" s="20" t="s">
        <v>39</v>
      </c>
      <c r="H54" s="20"/>
      <c r="I54" s="20"/>
      <c r="J54" s="30">
        <v>3.23</v>
      </c>
      <c r="K54" s="20"/>
      <c r="L54" s="31">
        <f>IF(H54="",J54*parite,H54)</f>
        <v>4.2313000000000001</v>
      </c>
      <c r="M54" s="32"/>
      <c r="N54" s="30">
        <f>IF(J54="",H54/parite,J54)</f>
        <v>3.23</v>
      </c>
      <c r="O54" s="29"/>
    </row>
    <row r="55" spans="7:15" ht="15.75" thickTop="1" x14ac:dyDescent="0.25">
      <c r="G55" s="22" t="s">
        <v>40</v>
      </c>
      <c r="H55" s="22"/>
      <c r="I55" s="22"/>
      <c r="J55" s="28"/>
      <c r="K55" s="22"/>
      <c r="L55" s="26" t="e">
        <f>SUM(L46:L50)+L52</f>
        <v>#DIV/0!</v>
      </c>
      <c r="M55" s="22"/>
      <c r="N55" s="28" t="e">
        <f>SUM(N46:N50)+N52</f>
        <v>#DIV/0!</v>
      </c>
      <c r="O55" s="22"/>
    </row>
    <row r="56" spans="7:15" ht="15" x14ac:dyDescent="0.25">
      <c r="G56" s="33" t="s">
        <v>41</v>
      </c>
      <c r="H56" s="33"/>
      <c r="I56" s="33"/>
      <c r="J56" s="33"/>
      <c r="K56" s="33"/>
      <c r="L56" s="34" t="e">
        <f>SUM(L46:L52)</f>
        <v>#DIV/0!</v>
      </c>
      <c r="M56" s="33"/>
      <c r="N56" s="35" t="e">
        <f>SUM(N46:N52)</f>
        <v>#DIV/0!</v>
      </c>
      <c r="O56" s="33"/>
    </row>
    <row r="57" spans="7:15" ht="15.75" thickBot="1" x14ac:dyDescent="0.3">
      <c r="G57" s="36" t="s">
        <v>42</v>
      </c>
      <c r="H57" s="37"/>
      <c r="I57" s="37"/>
      <c r="J57" s="37"/>
      <c r="K57" s="37"/>
      <c r="L57" s="38" t="e">
        <f>L56+L54</f>
        <v>#DIV/0!</v>
      </c>
      <c r="M57" s="37"/>
      <c r="N57" s="39" t="e">
        <f>N56+N54</f>
        <v>#DIV/0!</v>
      </c>
      <c r="O57" s="40" t="e">
        <f>(N57-N55)/N57</f>
        <v>#DIV/0!</v>
      </c>
    </row>
    <row r="58" spans="7:15" ht="15.75" thickTop="1" x14ac:dyDescent="0.25">
      <c r="G58" s="41" t="s">
        <v>43</v>
      </c>
      <c r="H58" s="42"/>
      <c r="I58" s="42"/>
      <c r="J58" s="42"/>
      <c r="K58" s="42">
        <v>1.2849999999999999</v>
      </c>
      <c r="L58" s="43" t="e">
        <f>L56*K58</f>
        <v>#DIV/0!</v>
      </c>
      <c r="M58" s="42"/>
      <c r="N58" s="44" t="e">
        <f>N56*K58</f>
        <v>#DIV/0!</v>
      </c>
      <c r="O58" s="45" t="e">
        <f>(N58-N55)/N58</f>
        <v>#DIV/0!</v>
      </c>
    </row>
  </sheetData>
  <mergeCells count="6">
    <mergeCell ref="E33:H33"/>
    <mergeCell ref="E28:H28"/>
    <mergeCell ref="E29:H29"/>
    <mergeCell ref="E30:H30"/>
    <mergeCell ref="E31:H31"/>
    <mergeCell ref="E32:H32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7"/>
  <sheetViews>
    <sheetView workbookViewId="0">
      <selection activeCell="D28" sqref="D28"/>
    </sheetView>
  </sheetViews>
  <sheetFormatPr baseColWidth="10" defaultRowHeight="12.75" x14ac:dyDescent="0.2"/>
  <cols>
    <col min="1" max="1" width="17.140625" customWidth="1"/>
    <col min="12" max="12" width="11.140625" customWidth="1"/>
  </cols>
  <sheetData>
    <row r="2" spans="1:15" x14ac:dyDescent="0.2">
      <c r="A2" s="11" t="s">
        <v>27</v>
      </c>
      <c r="B2">
        <v>1.4</v>
      </c>
    </row>
    <row r="4" spans="1:15" x14ac:dyDescent="0.2"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>
        <v>2026</v>
      </c>
    </row>
    <row r="5" spans="1:15" x14ac:dyDescent="0.2">
      <c r="A5" s="11" t="s">
        <v>24</v>
      </c>
      <c r="B5">
        <v>50</v>
      </c>
    </row>
    <row r="7" spans="1:15" x14ac:dyDescent="0.2">
      <c r="A7" s="11" t="s">
        <v>25</v>
      </c>
      <c r="E7">
        <v>1162.0749999999998</v>
      </c>
      <c r="F7">
        <v>1813.8999999999999</v>
      </c>
      <c r="G7">
        <v>3266.9</v>
      </c>
      <c r="H7">
        <v>3783.1900000000005</v>
      </c>
      <c r="I7">
        <v>4030.75</v>
      </c>
      <c r="J7">
        <v>4036.8</v>
      </c>
      <c r="K7">
        <v>4036.8</v>
      </c>
      <c r="L7">
        <v>4032.8</v>
      </c>
      <c r="M7">
        <v>4032.8</v>
      </c>
      <c r="N7">
        <v>4032.8</v>
      </c>
      <c r="O7">
        <v>4032.8</v>
      </c>
    </row>
    <row r="9" spans="1:15" x14ac:dyDescent="0.2">
      <c r="A9" s="11" t="s">
        <v>26</v>
      </c>
      <c r="B9" s="11" t="s">
        <v>14</v>
      </c>
      <c r="C9" s="12">
        <v>3.33</v>
      </c>
      <c r="D9" s="13">
        <f>C9/eurodol</f>
        <v>2.3785714285714286</v>
      </c>
      <c r="F9" s="11" t="s">
        <v>28</v>
      </c>
      <c r="G9" s="12">
        <v>4.8540000000000001</v>
      </c>
      <c r="H9" s="13">
        <f>G9/eurodol</f>
        <v>3.4671428571428575</v>
      </c>
      <c r="J9" s="11" t="s">
        <v>29</v>
      </c>
      <c r="L9" s="14">
        <f>D9*2-H9</f>
        <v>1.2899999999999996</v>
      </c>
    </row>
    <row r="11" spans="1:15" x14ac:dyDescent="0.2">
      <c r="A11" s="11" t="s">
        <v>30</v>
      </c>
      <c r="B11" s="15">
        <f>B7*$L$9</f>
        <v>0</v>
      </c>
      <c r="C11" s="15">
        <f t="shared" ref="C11:O11" si="0">C7*$L$9</f>
        <v>0</v>
      </c>
      <c r="D11" s="15">
        <f t="shared" si="0"/>
        <v>0</v>
      </c>
      <c r="E11" s="15">
        <f t="shared" si="0"/>
        <v>1499.0767499999993</v>
      </c>
      <c r="F11" s="15">
        <f t="shared" si="0"/>
        <v>2339.9309999999991</v>
      </c>
      <c r="G11" s="15">
        <f t="shared" si="0"/>
        <v>4214.3009999999986</v>
      </c>
      <c r="H11" s="15">
        <f t="shared" si="0"/>
        <v>4880.3150999999989</v>
      </c>
      <c r="I11" s="15">
        <f t="shared" si="0"/>
        <v>5199.6674999999987</v>
      </c>
      <c r="J11" s="15">
        <f t="shared" si="0"/>
        <v>5207.4719999999988</v>
      </c>
      <c r="K11" s="15">
        <f t="shared" si="0"/>
        <v>5207.4719999999988</v>
      </c>
      <c r="L11" s="15">
        <f t="shared" si="0"/>
        <v>5202.311999999999</v>
      </c>
      <c r="M11" s="15">
        <f t="shared" si="0"/>
        <v>5202.311999999999</v>
      </c>
      <c r="N11" s="15">
        <f t="shared" si="0"/>
        <v>5202.311999999999</v>
      </c>
      <c r="O11" s="15">
        <f t="shared" si="0"/>
        <v>5202.311999999999</v>
      </c>
    </row>
    <row r="12" spans="1:15" x14ac:dyDescent="0.2">
      <c r="A12" s="11" t="s">
        <v>31</v>
      </c>
      <c r="C12" s="15">
        <f>C11+B12</f>
        <v>0</v>
      </c>
      <c r="D12" s="15">
        <f t="shared" ref="D12:O12" si="1">D11+C12</f>
        <v>0</v>
      </c>
      <c r="E12" s="15">
        <f t="shared" si="1"/>
        <v>1499.0767499999993</v>
      </c>
      <c r="F12" s="15">
        <f t="shared" si="1"/>
        <v>3839.0077499999984</v>
      </c>
      <c r="G12" s="15">
        <f t="shared" si="1"/>
        <v>8053.3087499999965</v>
      </c>
      <c r="H12" s="15">
        <f t="shared" si="1"/>
        <v>12933.623849999996</v>
      </c>
      <c r="I12" s="15">
        <f t="shared" si="1"/>
        <v>18133.291349999996</v>
      </c>
      <c r="J12" s="15">
        <f t="shared" si="1"/>
        <v>23340.763349999994</v>
      </c>
      <c r="K12" s="15">
        <f t="shared" si="1"/>
        <v>28548.235349999992</v>
      </c>
      <c r="L12" s="15">
        <f t="shared" si="1"/>
        <v>33750.547349999993</v>
      </c>
      <c r="M12" s="15">
        <f t="shared" si="1"/>
        <v>38952.859349999992</v>
      </c>
      <c r="N12" s="15">
        <f t="shared" si="1"/>
        <v>44155.17134999999</v>
      </c>
      <c r="O12" s="15">
        <f t="shared" si="1"/>
        <v>49357.483349999988</v>
      </c>
    </row>
    <row r="13" spans="1:15" x14ac:dyDescent="0.2">
      <c r="A13" s="11" t="s">
        <v>33</v>
      </c>
      <c r="B13" s="15">
        <f>-$B$5*1000+B12</f>
        <v>-50000</v>
      </c>
      <c r="C13" s="15">
        <f t="shared" ref="C13:O13" si="2">-$B$5*1000+C12</f>
        <v>-50000</v>
      </c>
      <c r="D13" s="15">
        <f t="shared" si="2"/>
        <v>-50000</v>
      </c>
      <c r="E13" s="15">
        <f t="shared" si="2"/>
        <v>-48500.92325</v>
      </c>
      <c r="F13" s="15">
        <f t="shared" si="2"/>
        <v>-46160.992250000003</v>
      </c>
      <c r="G13" s="15">
        <f t="shared" si="2"/>
        <v>-41946.691250000003</v>
      </c>
      <c r="H13" s="15">
        <f t="shared" si="2"/>
        <v>-37066.376150000004</v>
      </c>
      <c r="I13" s="15">
        <f t="shared" si="2"/>
        <v>-31866.708650000004</v>
      </c>
      <c r="J13" s="15">
        <f t="shared" si="2"/>
        <v>-26659.236650000006</v>
      </c>
      <c r="K13" s="15">
        <f t="shared" si="2"/>
        <v>-21451.764650000008</v>
      </c>
      <c r="L13" s="15">
        <f t="shared" si="2"/>
        <v>-16249.452650000007</v>
      </c>
      <c r="M13" s="15">
        <f t="shared" si="2"/>
        <v>-11047.140650000008</v>
      </c>
      <c r="N13" s="15">
        <f t="shared" si="2"/>
        <v>-5844.8286500000104</v>
      </c>
      <c r="O13" s="15">
        <f t="shared" si="2"/>
        <v>-642.51665000001231</v>
      </c>
    </row>
    <row r="14" spans="1:15" x14ac:dyDescent="0.2">
      <c r="I14">
        <f>(H9+L9)*$I$7</f>
        <v>19174.853571428572</v>
      </c>
    </row>
    <row r="15" spans="1:15" x14ac:dyDescent="0.2">
      <c r="A15" s="11" t="s">
        <v>34</v>
      </c>
      <c r="B15" s="11" t="s">
        <v>14</v>
      </c>
      <c r="C15" s="12">
        <v>3.33</v>
      </c>
      <c r="D15" s="13">
        <f>C15/eurodol</f>
        <v>2.3785714285714286</v>
      </c>
      <c r="F15" s="11" t="s">
        <v>28</v>
      </c>
      <c r="G15" s="12">
        <v>4.8540000000000001</v>
      </c>
      <c r="H15" s="13">
        <f>G15/eurodol</f>
        <v>3.4671428571428575</v>
      </c>
      <c r="J15" s="11" t="s">
        <v>32</v>
      </c>
      <c r="L15" s="14">
        <f>H15*0.5</f>
        <v>1.7335714285714288</v>
      </c>
    </row>
    <row r="17" spans="1:15" x14ac:dyDescent="0.2">
      <c r="A17" s="11" t="s">
        <v>30</v>
      </c>
      <c r="B17" s="15">
        <f>B7*$L$15</f>
        <v>0</v>
      </c>
      <c r="C17" s="15">
        <f t="shared" ref="C17:O17" si="3">C7*$L$15</f>
        <v>0</v>
      </c>
      <c r="D17" s="15">
        <f t="shared" si="3"/>
        <v>0</v>
      </c>
      <c r="E17" s="15">
        <f t="shared" si="3"/>
        <v>2014.5400178571429</v>
      </c>
      <c r="F17" s="15">
        <f t="shared" si="3"/>
        <v>3144.5252142857144</v>
      </c>
      <c r="G17" s="15">
        <f t="shared" si="3"/>
        <v>5663.4045000000006</v>
      </c>
      <c r="H17" s="15">
        <f t="shared" si="3"/>
        <v>6558.4300928571447</v>
      </c>
      <c r="I17" s="15">
        <f t="shared" si="3"/>
        <v>6987.5930357142861</v>
      </c>
      <c r="J17" s="15">
        <f t="shared" si="3"/>
        <v>6998.0811428571442</v>
      </c>
      <c r="K17" s="15">
        <f t="shared" si="3"/>
        <v>6998.0811428571442</v>
      </c>
      <c r="L17" s="15">
        <f t="shared" si="3"/>
        <v>6991.1468571428586</v>
      </c>
      <c r="M17" s="15">
        <f t="shared" si="3"/>
        <v>6991.1468571428586</v>
      </c>
      <c r="N17" s="15">
        <f t="shared" si="3"/>
        <v>6991.1468571428586</v>
      </c>
      <c r="O17" s="15">
        <f t="shared" si="3"/>
        <v>6991.1468571428586</v>
      </c>
    </row>
    <row r="18" spans="1:15" x14ac:dyDescent="0.2">
      <c r="A18" s="11" t="s">
        <v>31</v>
      </c>
      <c r="C18" s="15">
        <f>C17+B18</f>
        <v>0</v>
      </c>
      <c r="D18" s="15">
        <f t="shared" ref="D18:O18" si="4">D17+C18</f>
        <v>0</v>
      </c>
      <c r="E18" s="15">
        <f t="shared" si="4"/>
        <v>2014.5400178571429</v>
      </c>
      <c r="F18" s="15">
        <f t="shared" si="4"/>
        <v>5159.065232142857</v>
      </c>
      <c r="G18" s="15">
        <f t="shared" si="4"/>
        <v>10822.469732142858</v>
      </c>
      <c r="H18" s="15">
        <f t="shared" si="4"/>
        <v>17380.899825</v>
      </c>
      <c r="I18" s="15">
        <f t="shared" si="4"/>
        <v>24368.492860714287</v>
      </c>
      <c r="J18" s="15">
        <f t="shared" si="4"/>
        <v>31366.57400357143</v>
      </c>
      <c r="K18" s="15">
        <f t="shared" si="4"/>
        <v>38364.655146428573</v>
      </c>
      <c r="L18" s="15">
        <f t="shared" si="4"/>
        <v>45355.802003571429</v>
      </c>
      <c r="M18" s="15">
        <f t="shared" si="4"/>
        <v>52346.948860714285</v>
      </c>
      <c r="N18" s="15">
        <f t="shared" si="4"/>
        <v>59338.095717857141</v>
      </c>
      <c r="O18" s="15">
        <f t="shared" si="4"/>
        <v>66329.242574999997</v>
      </c>
    </row>
    <row r="19" spans="1:15" x14ac:dyDescent="0.2">
      <c r="A19" s="11" t="s">
        <v>33</v>
      </c>
      <c r="B19" s="15">
        <f>-$B$5*1000+B18</f>
        <v>-50000</v>
      </c>
      <c r="C19" s="15">
        <f t="shared" ref="C19:M19" si="5">-$B$5*1000+C18</f>
        <v>-50000</v>
      </c>
      <c r="D19" s="15">
        <f t="shared" si="5"/>
        <v>-50000</v>
      </c>
      <c r="E19" s="15">
        <f t="shared" si="5"/>
        <v>-47985.459982142856</v>
      </c>
      <c r="F19" s="15">
        <f t="shared" si="5"/>
        <v>-44840.934767857143</v>
      </c>
      <c r="G19" s="15">
        <f t="shared" si="5"/>
        <v>-39177.530267857146</v>
      </c>
      <c r="H19" s="15">
        <f t="shared" si="5"/>
        <v>-32619.100175</v>
      </c>
      <c r="I19" s="15">
        <f t="shared" si="5"/>
        <v>-25631.507139285713</v>
      </c>
      <c r="J19" s="15">
        <f t="shared" si="5"/>
        <v>-18633.42599642857</v>
      </c>
      <c r="K19" s="15">
        <f t="shared" si="5"/>
        <v>-11635.344853571427</v>
      </c>
      <c r="L19" s="15">
        <f t="shared" si="5"/>
        <v>-4644.1979964285711</v>
      </c>
      <c r="M19" s="15">
        <f t="shared" si="5"/>
        <v>2346.9488607142848</v>
      </c>
      <c r="N19" s="15">
        <f>-$B$5*1000+N18</f>
        <v>9338.0957178571407</v>
      </c>
      <c r="O19" s="15">
        <f>-$B$5*1000+O18</f>
        <v>16329.242574999997</v>
      </c>
    </row>
    <row r="20" spans="1:15" x14ac:dyDescent="0.2">
      <c r="I20">
        <f>(H15+L15)*$I$7</f>
        <v>20962.779107142862</v>
      </c>
    </row>
    <row r="22" spans="1:15" x14ac:dyDescent="0.2">
      <c r="A22" s="11" t="s">
        <v>35</v>
      </c>
      <c r="F22" s="11"/>
      <c r="H22" s="13">
        <f>H15</f>
        <v>3.4671428571428575</v>
      </c>
      <c r="J22" s="11" t="s">
        <v>36</v>
      </c>
      <c r="L22" s="14">
        <v>2.2999999999999998</v>
      </c>
    </row>
    <row r="24" spans="1:15" x14ac:dyDescent="0.2">
      <c r="A24" s="11" t="s">
        <v>30</v>
      </c>
      <c r="B24" s="15">
        <f>B7*$L$22</f>
        <v>0</v>
      </c>
      <c r="C24" s="15">
        <f t="shared" ref="C24:O24" si="6">C7*$L$22</f>
        <v>0</v>
      </c>
      <c r="D24" s="15">
        <f t="shared" si="6"/>
        <v>0</v>
      </c>
      <c r="E24" s="15">
        <f t="shared" si="6"/>
        <v>2672.7724999999996</v>
      </c>
      <c r="F24" s="15">
        <f t="shared" si="6"/>
        <v>4171.9699999999993</v>
      </c>
      <c r="G24" s="15">
        <f t="shared" si="6"/>
        <v>7513.87</v>
      </c>
      <c r="H24" s="15">
        <f t="shared" si="6"/>
        <v>8701.3370000000014</v>
      </c>
      <c r="I24" s="15">
        <f t="shared" si="6"/>
        <v>9270.7249999999985</v>
      </c>
      <c r="J24" s="15">
        <f t="shared" si="6"/>
        <v>9284.64</v>
      </c>
      <c r="K24" s="15">
        <f t="shared" si="6"/>
        <v>9284.64</v>
      </c>
      <c r="L24" s="15">
        <f t="shared" si="6"/>
        <v>9275.44</v>
      </c>
      <c r="M24" s="15">
        <f t="shared" si="6"/>
        <v>9275.44</v>
      </c>
      <c r="N24" s="15">
        <f t="shared" si="6"/>
        <v>9275.44</v>
      </c>
      <c r="O24" s="15">
        <f t="shared" si="6"/>
        <v>9275.44</v>
      </c>
    </row>
    <row r="25" spans="1:15" x14ac:dyDescent="0.2">
      <c r="A25" s="11" t="s">
        <v>31</v>
      </c>
      <c r="C25" s="15">
        <f>C24+B25</f>
        <v>0</v>
      </c>
      <c r="D25" s="15">
        <f t="shared" ref="D25:O25" si="7">D24+C25</f>
        <v>0</v>
      </c>
      <c r="E25" s="15">
        <f t="shared" si="7"/>
        <v>2672.7724999999996</v>
      </c>
      <c r="F25" s="15">
        <f t="shared" si="7"/>
        <v>6844.7424999999985</v>
      </c>
      <c r="G25" s="15">
        <f t="shared" si="7"/>
        <v>14358.612499999999</v>
      </c>
      <c r="H25" s="15">
        <f t="shared" si="7"/>
        <v>23059.949500000002</v>
      </c>
      <c r="I25" s="15">
        <f t="shared" si="7"/>
        <v>32330.674500000001</v>
      </c>
      <c r="J25" s="15">
        <f t="shared" si="7"/>
        <v>41615.3145</v>
      </c>
      <c r="K25" s="15">
        <f t="shared" si="7"/>
        <v>50899.9545</v>
      </c>
      <c r="L25" s="15">
        <f t="shared" si="7"/>
        <v>60175.394500000002</v>
      </c>
      <c r="M25" s="15">
        <f t="shared" si="7"/>
        <v>69450.834499999997</v>
      </c>
      <c r="N25" s="15">
        <f t="shared" si="7"/>
        <v>78726.2745</v>
      </c>
      <c r="O25" s="15">
        <f t="shared" si="7"/>
        <v>88001.714500000002</v>
      </c>
    </row>
    <row r="26" spans="1:15" x14ac:dyDescent="0.2">
      <c r="A26" s="11" t="s">
        <v>33</v>
      </c>
      <c r="B26" s="15">
        <f t="shared" ref="B26:O26" si="8">-$B$5*1000+B25</f>
        <v>-50000</v>
      </c>
      <c r="C26" s="15">
        <f t="shared" si="8"/>
        <v>-50000</v>
      </c>
      <c r="D26" s="15">
        <f t="shared" si="8"/>
        <v>-50000</v>
      </c>
      <c r="E26" s="15">
        <f t="shared" si="8"/>
        <v>-47327.227500000001</v>
      </c>
      <c r="F26" s="15">
        <f t="shared" si="8"/>
        <v>-43155.2575</v>
      </c>
      <c r="G26" s="15">
        <f t="shared" si="8"/>
        <v>-35641.387499999997</v>
      </c>
      <c r="H26" s="15">
        <f t="shared" si="8"/>
        <v>-26940.050499999998</v>
      </c>
      <c r="I26" s="15">
        <f t="shared" si="8"/>
        <v>-17669.325499999999</v>
      </c>
      <c r="J26" s="15">
        <f t="shared" si="8"/>
        <v>-8384.6854999999996</v>
      </c>
      <c r="K26" s="15">
        <f t="shared" si="8"/>
        <v>899.95449999999983</v>
      </c>
      <c r="L26" s="15">
        <f t="shared" si="8"/>
        <v>10175.394500000002</v>
      </c>
      <c r="M26" s="15">
        <f t="shared" si="8"/>
        <v>19450.834499999997</v>
      </c>
      <c r="N26" s="15">
        <f t="shared" si="8"/>
        <v>28726.2745</v>
      </c>
      <c r="O26" s="15">
        <f t="shared" si="8"/>
        <v>38001.714500000002</v>
      </c>
    </row>
    <row r="27" spans="1:15" x14ac:dyDescent="0.2">
      <c r="I27">
        <f>(H22+L22)*$I$7</f>
        <v>23245.911071428574</v>
      </c>
    </row>
  </sheetData>
  <phoneticPr fontId="1" type="noConversion"/>
  <pageMargins left="0.25" right="0.25" top="0.75" bottom="0.75" header="0.3" footer="0.3"/>
  <pageSetup paperSize="9" scale="82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41</vt:i4>
      </vt:variant>
    </vt:vector>
  </HeadingPairs>
  <TitlesOfParts>
    <vt:vector size="47" baseType="lpstr">
      <vt:lpstr>Paramètres</vt:lpstr>
      <vt:lpstr>Estimation Lingot 2 VAR</vt:lpstr>
      <vt:lpstr>Matières</vt:lpstr>
      <vt:lpstr>Calcul Devis 100% Chutes</vt:lpstr>
      <vt:lpstr>Calcul Devis Chutes EC + Lgt Sp</vt:lpstr>
      <vt:lpstr>Schéma Flux Fi</vt:lpstr>
      <vt:lpstr>cdfusion</vt:lpstr>
      <vt:lpstr>'Calcul Devis Chutes EC + Lgt Sp'!chuferro</vt:lpstr>
      <vt:lpstr>chuferro</vt:lpstr>
      <vt:lpstr>'Calcul Devis Chutes EC + Lgt Sp'!copeau</vt:lpstr>
      <vt:lpstr>copeau</vt:lpstr>
      <vt:lpstr>eurodol</vt:lpstr>
      <vt:lpstr>fgxfusion</vt:lpstr>
      <vt:lpstr>krecup</vt:lpstr>
      <vt:lpstr>'Calcul Devis Chutes EC + Lgt Sp'!massif</vt:lpstr>
      <vt:lpstr>massif</vt:lpstr>
      <vt:lpstr>parite</vt:lpstr>
      <vt:lpstr>partepongex</vt:lpstr>
      <vt:lpstr>PCopeaux</vt:lpstr>
      <vt:lpstr>perteecroutage</vt:lpstr>
      <vt:lpstr>pertegalette</vt:lpstr>
      <vt:lpstr>Pmassifs</vt:lpstr>
      <vt:lpstr>pxeponge</vt:lpstr>
      <vt:lpstr>pxmarcopeau</vt:lpstr>
      <vt:lpstr>pxmarferroti</vt:lpstr>
      <vt:lpstr>pxmarlingot</vt:lpstr>
      <vt:lpstr>pxmarmassif</vt:lpstr>
      <vt:lpstr>pxmasteral</vt:lpstr>
      <vt:lpstr>pxnegcopeau</vt:lpstr>
      <vt:lpstr>pxnegmassif</vt:lpstr>
      <vt:lpstr>pxrccopeau</vt:lpstr>
      <vt:lpstr>pxrciacopeau</vt:lpstr>
      <vt:lpstr>pxrciamassif</vt:lpstr>
      <vt:lpstr>pxrcmassif</vt:lpstr>
      <vt:lpstr>qteproduite</vt:lpstr>
      <vt:lpstr>Rdtcopeaux</vt:lpstr>
      <vt:lpstr>Rdtmassifs</vt:lpstr>
      <vt:lpstr>ruplasma</vt:lpstr>
      <vt:lpstr>ruvar</vt:lpstr>
      <vt:lpstr>Tacopeaux</vt:lpstr>
      <vt:lpstr>Tamassifs</vt:lpstr>
      <vt:lpstr>'Calcul Devis Chutes EC + Lgt Sp'!tcopeaux</vt:lpstr>
      <vt:lpstr>tcopeaux</vt:lpstr>
      <vt:lpstr>'Calcul Devis Chutes EC + Lgt Sp'!tmassifs</vt:lpstr>
      <vt:lpstr>tmassifs</vt:lpstr>
      <vt:lpstr>Trcopeaux</vt:lpstr>
      <vt:lpstr>Trmassifs</vt:lpstr>
    </vt:vector>
  </TitlesOfParts>
  <Company>Aubert &amp; Duval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Delaborde</dc:creator>
  <cp:lastModifiedBy>Patrick Delaborde</cp:lastModifiedBy>
  <cp:lastPrinted>2012-10-05T13:38:05Z</cp:lastPrinted>
  <dcterms:created xsi:type="dcterms:W3CDTF">2012-10-05T06:05:43Z</dcterms:created>
  <dcterms:modified xsi:type="dcterms:W3CDTF">2014-02-06T17:33:23Z</dcterms:modified>
</cp:coreProperties>
</file>