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2"/>
  </bookViews>
  <sheets>
    <sheet name="Paramètres" sheetId="3" r:id="rId1"/>
    <sheet name="Matières" sheetId="5" r:id="rId2"/>
    <sheet name="Calcul Devis 100% Chutes" sheetId="4" r:id="rId3"/>
    <sheet name="Calcul Devis Chutes EC + Lgt Sp" sheetId="6" r:id="rId4"/>
    <sheet name="Schéma Flux Fi" sheetId="2" r:id="rId5"/>
  </sheets>
  <definedNames>
    <definedName name="cdfusion">Paramètres!$I$19</definedName>
    <definedName name="chuferro" localSheetId="3">'Calcul Devis Chutes EC + Lgt Sp'!$B$44</definedName>
    <definedName name="chuferro">'Calcul Devis 100% Chutes'!$B$44</definedName>
    <definedName name="copeau" localSheetId="3">'Calcul Devis Chutes EC + Lgt Sp'!$B$43</definedName>
    <definedName name="copeau">'Calcul Devis 100% Chutes'!$B$43</definedName>
    <definedName name="eurodol">'Schéma Flux Fi'!$B$2</definedName>
    <definedName name="fgxfusion">Paramètres!$I$20</definedName>
    <definedName name="krecup">Paramètres!$E$15</definedName>
    <definedName name="massif" localSheetId="3">'Calcul Devis Chutes EC + Lgt Sp'!$B$42</definedName>
    <definedName name="massif">'Calcul Devis 100% Chutes'!$B$42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3">'Calcul Devis Chutes EC + Lgt Sp'!$B$9</definedName>
    <definedName name="tcopeaux">'Calcul Devis 100% Chutes'!$B$9</definedName>
    <definedName name="tmassifs" localSheetId="3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11" i="5" l="1"/>
  <c r="B9" i="6"/>
  <c r="G9" i="6" s="1"/>
  <c r="B36" i="5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G25" i="6"/>
  <c r="AF23" i="6"/>
  <c r="AG23" i="6" s="1"/>
  <c r="Y18" i="6"/>
  <c r="O14" i="6"/>
  <c r="L12" i="6"/>
  <c r="F9" i="6"/>
  <c r="F8" i="6"/>
  <c r="H9" i="6" l="1"/>
  <c r="K9" i="6"/>
  <c r="B23" i="5" l="1"/>
  <c r="B17" i="5"/>
  <c r="B11" i="5"/>
  <c r="B5" i="5"/>
  <c r="C16" i="5" l="1"/>
  <c r="C15" i="5"/>
  <c r="C10" i="5"/>
  <c r="C9" i="5"/>
  <c r="C4" i="5"/>
  <c r="C3" i="5"/>
  <c r="C22" i="5"/>
  <c r="C21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11" i="5" s="1"/>
  <c r="D4" i="5"/>
  <c r="D3" i="5"/>
  <c r="D22" i="5"/>
  <c r="D21" i="5"/>
  <c r="B29" i="5"/>
  <c r="B28" i="5"/>
  <c r="B35" i="5" s="1"/>
  <c r="I33" i="4"/>
  <c r="I32" i="4"/>
  <c r="I31" i="4"/>
  <c r="I30" i="4"/>
  <c r="I29" i="4"/>
  <c r="I28" i="4"/>
  <c r="D23" i="5" l="1"/>
  <c r="B37" i="5"/>
  <c r="B10" i="6" s="1"/>
  <c r="B8" i="6"/>
  <c r="D17" i="5"/>
  <c r="D5" i="5"/>
  <c r="B9" i="4"/>
  <c r="B30" i="5"/>
  <c r="C28" i="5" s="1"/>
  <c r="N16" i="3"/>
  <c r="L13" i="3"/>
  <c r="D29" i="5"/>
  <c r="D36" i="5" s="1"/>
  <c r="C9" i="6" s="1"/>
  <c r="B8" i="4"/>
  <c r="D28" i="5"/>
  <c r="D35" i="5" s="1"/>
  <c r="G8" i="6" l="1"/>
  <c r="K8" i="6"/>
  <c r="K10" i="6" s="1"/>
  <c r="D37" i="5"/>
  <c r="C10" i="6" s="1"/>
  <c r="C8" i="6"/>
  <c r="C9" i="4"/>
  <c r="D30" i="5"/>
  <c r="B10" i="4"/>
  <c r="C29" i="5"/>
  <c r="C8" i="4"/>
  <c r="K14" i="6" l="1"/>
  <c r="L14" i="6" s="1"/>
  <c r="L10" i="6"/>
  <c r="H8" i="6"/>
  <c r="H10" i="6" s="1"/>
  <c r="G10" i="6"/>
  <c r="C10" i="4"/>
  <c r="F9" i="4"/>
  <c r="F8" i="4"/>
  <c r="O12" i="6" l="1"/>
  <c r="AC18" i="6" s="1"/>
  <c r="AD10" i="6"/>
  <c r="H25" i="6" s="1"/>
  <c r="J47" i="6" s="1"/>
  <c r="G9" i="4"/>
  <c r="N47" i="6" l="1"/>
  <c r="L47" i="6"/>
  <c r="L10" i="5"/>
  <c r="V8" i="6"/>
  <c r="V25" i="6" s="1"/>
  <c r="AD18" i="6"/>
  <c r="S8" i="6"/>
  <c r="AD8" i="6"/>
  <c r="C25" i="6"/>
  <c r="L25" i="6"/>
  <c r="Z8" i="6"/>
  <c r="O10" i="6"/>
  <c r="P10" i="6" s="1"/>
  <c r="O8" i="6"/>
  <c r="P8" i="6" s="1"/>
  <c r="P25" i="6" s="1"/>
  <c r="H49" i="6" s="1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N49" i="6" l="1"/>
  <c r="L49" i="6"/>
  <c r="H46" i="6"/>
  <c r="S2" i="6"/>
  <c r="S25" i="6"/>
  <c r="AD23" i="6" s="1"/>
  <c r="P12" i="6"/>
  <c r="Y9" i="6"/>
  <c r="Z9" i="6" s="1"/>
  <c r="Y10" i="6" s="1"/>
  <c r="Z10" i="6" s="1"/>
  <c r="Y11" i="6" s="1"/>
  <c r="Z11" i="6" s="1"/>
  <c r="H48" i="6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Y12" i="6" l="1"/>
  <c r="Z12" i="6"/>
  <c r="AD12" i="6"/>
  <c r="N48" i="6"/>
  <c r="L48" i="6"/>
  <c r="L46" i="6"/>
  <c r="N46" i="6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Y13" i="6" l="1"/>
  <c r="Y17" i="6" s="1"/>
  <c r="Y19" i="6" s="1"/>
  <c r="AA19" i="6" s="1"/>
  <c r="AA25" i="6" s="1"/>
  <c r="Z13" i="6"/>
  <c r="L9" i="5"/>
  <c r="Z10" i="4"/>
  <c r="Y11" i="4" s="1"/>
  <c r="Z11" i="4" s="1"/>
  <c r="Y12" i="4" s="1"/>
  <c r="Z12" i="4" s="1"/>
  <c r="Y13" i="4" s="1"/>
  <c r="Z13" i="4" s="1"/>
  <c r="AD10" i="4"/>
  <c r="L5" i="5" s="1"/>
  <c r="L12" i="5" s="1"/>
  <c r="L14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L13" i="5" l="1"/>
  <c r="H52" i="6"/>
  <c r="AD24" i="6"/>
  <c r="AD25" i="6" s="1"/>
  <c r="AD14" i="6"/>
  <c r="AD20" i="6" s="1"/>
  <c r="Y17" i="4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L52" i="6" l="1"/>
  <c r="N52" i="6"/>
  <c r="H48" i="4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N55" i="6" l="1"/>
  <c r="N56" i="6"/>
  <c r="L55" i="6"/>
  <c r="L56" i="6"/>
  <c r="N48" i="4"/>
  <c r="N56" i="4" s="1"/>
  <c r="N57" i="4" s="1"/>
  <c r="AG23" i="4"/>
  <c r="AD25" i="4"/>
  <c r="L47" i="4"/>
  <c r="L56" i="4" s="1"/>
  <c r="L58" i="4" s="1"/>
  <c r="F13" i="2"/>
  <c r="G12" i="2"/>
  <c r="H25" i="2"/>
  <c r="G26" i="2"/>
  <c r="F19" i="2"/>
  <c r="G18" i="2"/>
  <c r="L57" i="6" l="1"/>
  <c r="L58" i="6"/>
  <c r="N58" i="6"/>
  <c r="O58" i="6" s="1"/>
  <c r="N57" i="6"/>
  <c r="O57" i="6" s="1"/>
  <c r="L4" i="5"/>
  <c r="AD20" i="4"/>
  <c r="N55" i="4"/>
  <c r="O57" i="4" s="1"/>
  <c r="AG25" i="4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<sst xmlns="http://schemas.openxmlformats.org/spreadsheetml/2006/main" count="287" uniqueCount="123">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</sst>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5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5" borderId="2" applyNumberFormat="0" applyAlignment="0" applyProtection="0"/>
    <xf numFmtId="0" fontId="7" fillId="4" borderId="4" applyNumberFormat="0" applyAlignment="0" applyProtection="0"/>
    <xf numFmtId="0" fontId="8" fillId="6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6" borderId="5" xfId="4"/>
    <xf numFmtId="0" fontId="6" fillId="5" borderId="2" xfId="2"/>
    <xf numFmtId="0" fontId="7" fillId="4" borderId="4" xfId="3"/>
    <xf numFmtId="169" fontId="6" fillId="5" borderId="2" xfId="2" applyNumberFormat="1"/>
    <xf numFmtId="164" fontId="6" fillId="5" borderId="2" xfId="2" applyNumberFormat="1"/>
    <xf numFmtId="167" fontId="6" fillId="5" borderId="2" xfId="2" applyNumberFormat="1"/>
    <xf numFmtId="169" fontId="7" fillId="4" borderId="4" xfId="3" applyNumberFormat="1"/>
    <xf numFmtId="164" fontId="7" fillId="4" borderId="4" xfId="3" applyNumberFormat="1"/>
    <xf numFmtId="167" fontId="7" fillId="4" borderId="4" xfId="3" applyNumberFormat="1"/>
    <xf numFmtId="9" fontId="7" fillId="4" borderId="4" xfId="3" applyNumberFormat="1"/>
    <xf numFmtId="167" fontId="8" fillId="6" borderId="5" xfId="4" applyNumberFormat="1"/>
    <xf numFmtId="169" fontId="8" fillId="6" borderId="5" xfId="4" applyNumberFormat="1"/>
    <xf numFmtId="164" fontId="8" fillId="6" borderId="5" xfId="4" applyNumberFormat="1"/>
    <xf numFmtId="0" fontId="7" fillId="4" borderId="6" xfId="3" applyBorder="1"/>
    <xf numFmtId="169" fontId="7" fillId="4" borderId="6" xfId="3" applyNumberFormat="1" applyBorder="1"/>
    <xf numFmtId="167" fontId="7" fillId="4" borderId="6" xfId="3" applyNumberFormat="1" applyBorder="1"/>
    <xf numFmtId="0" fontId="5" fillId="4" borderId="7" xfId="1" applyFill="1" applyBorder="1"/>
    <xf numFmtId="0" fontId="5" fillId="4" borderId="8" xfId="1" applyFill="1" applyBorder="1"/>
    <xf numFmtId="169" fontId="5" fillId="4" borderId="8" xfId="1" applyNumberFormat="1" applyFill="1" applyBorder="1"/>
    <xf numFmtId="167" fontId="5" fillId="4" borderId="8" xfId="1" applyNumberFormat="1" applyFill="1" applyBorder="1"/>
    <xf numFmtId="9" fontId="5" fillId="4" borderId="9" xfId="1" applyNumberFormat="1" applyFill="1" applyBorder="1"/>
    <xf numFmtId="0" fontId="5" fillId="4" borderId="10" xfId="1" applyFill="1" applyBorder="1"/>
    <xf numFmtId="0" fontId="5" fillId="4" borderId="11" xfId="1" applyFill="1" applyBorder="1"/>
    <xf numFmtId="169" fontId="5" fillId="4" borderId="11" xfId="1" applyNumberFormat="1" applyFill="1" applyBorder="1"/>
    <xf numFmtId="167" fontId="5" fillId="4" borderId="11" xfId="1" applyNumberFormat="1" applyFill="1" applyBorder="1"/>
    <xf numFmtId="9" fontId="5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8" borderId="1" xfId="0" applyNumberFormat="1" applyFill="1" applyBorder="1"/>
    <xf numFmtId="0" fontId="4" fillId="0" borderId="1" xfId="0" applyFont="1" applyFill="1" applyBorder="1"/>
    <xf numFmtId="10" fontId="0" fillId="8" borderId="1" xfId="6" applyNumberFormat="1" applyFont="1" applyFill="1" applyBorder="1"/>
    <xf numFmtId="2" fontId="4" fillId="1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1" xfId="0" applyBorder="1" applyAlignment="1">
      <alignment vertical="center"/>
    </xf>
    <xf numFmtId="2" fontId="0" fillId="8" borderId="1" xfId="0" applyNumberFormat="1" applyFill="1" applyBorder="1"/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topLeftCell="A7" workbookViewId="0">
      <selection activeCell="E28" sqref="E28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83" t="s">
        <v>6</v>
      </c>
      <c r="B4" s="83"/>
      <c r="C4" s="83"/>
      <c r="D4" s="83"/>
      <c r="E4" s="4">
        <v>1.7004146449723441</v>
      </c>
      <c r="H4" s="66">
        <v>1</v>
      </c>
      <c r="I4" s="70">
        <v>1.31</v>
      </c>
      <c r="K4" s="65" t="s">
        <v>75</v>
      </c>
      <c r="L4" s="67">
        <v>12</v>
      </c>
    </row>
    <row r="5" spans="1:14" x14ac:dyDescent="0.2">
      <c r="A5" s="83" t="s">
        <v>54</v>
      </c>
      <c r="B5" s="83"/>
      <c r="C5" s="83"/>
      <c r="D5" s="83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83" t="s">
        <v>8</v>
      </c>
      <c r="B7" s="83"/>
      <c r="C7" s="83"/>
      <c r="D7" s="83"/>
      <c r="E7" s="4">
        <v>0.11255088099999999</v>
      </c>
    </row>
    <row r="8" spans="1:14" ht="23.25" x14ac:dyDescent="0.35">
      <c r="A8" s="83" t="s">
        <v>55</v>
      </c>
      <c r="B8" s="83"/>
      <c r="C8" s="83"/>
      <c r="D8" s="83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83" t="s">
        <v>10</v>
      </c>
      <c r="B9" s="83"/>
      <c r="C9" s="83"/>
      <c r="D9" s="83"/>
      <c r="E9" s="5">
        <v>0.18758480166666663</v>
      </c>
    </row>
    <row r="10" spans="1:14" x14ac:dyDescent="0.2">
      <c r="A10" s="83" t="s">
        <v>56</v>
      </c>
      <c r="B10" s="83"/>
      <c r="C10" s="83"/>
      <c r="D10" s="83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84">
        <v>4.8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84">
        <v>2.9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2.48</v>
      </c>
      <c r="H22" s="78" t="s">
        <v>100</v>
      </c>
      <c r="I22" s="79">
        <v>1.0533156511823433E-2</v>
      </c>
    </row>
    <row r="23" spans="1:14" x14ac:dyDescent="0.2"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N12" sqref="N12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31.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0</v>
      </c>
      <c r="C3">
        <f>pxrcmassif</f>
        <v>1</v>
      </c>
      <c r="D3" s="60">
        <f>B3*C3</f>
        <v>0</v>
      </c>
      <c r="G3" s="2">
        <v>880.20399999999995</v>
      </c>
    </row>
    <row r="4" spans="1:14" x14ac:dyDescent="0.2">
      <c r="A4" t="s">
        <v>1</v>
      </c>
      <c r="B4" s="2">
        <v>0</v>
      </c>
      <c r="C4">
        <f>pxrccopeau</f>
        <v>0.6</v>
      </c>
      <c r="D4" s="60">
        <f>B4*C4</f>
        <v>0</v>
      </c>
      <c r="G4" s="2">
        <v>1186.7625</v>
      </c>
      <c r="K4" s="11" t="s">
        <v>108</v>
      </c>
      <c r="L4" s="3">
        <f>'Calcul Devis 100% Chutes'!AD12</f>
        <v>18.521867714918379</v>
      </c>
      <c r="N4" t="s">
        <v>113</v>
      </c>
    </row>
    <row r="5" spans="1:14" x14ac:dyDescent="0.2">
      <c r="A5" t="s">
        <v>13</v>
      </c>
      <c r="B5" s="56">
        <f>B3+B4</f>
        <v>0</v>
      </c>
      <c r="D5" s="56">
        <f>D3+D4</f>
        <v>0</v>
      </c>
      <c r="G5" s="56">
        <v>2066.9665</v>
      </c>
      <c r="K5" s="11" t="s">
        <v>112</v>
      </c>
      <c r="L5" s="46">
        <f>'Calcul Devis 100% Chutes'!AD10</f>
        <v>625.70819778142288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 t="s">
        <v>2</v>
      </c>
      <c r="K8" s="57" t="s">
        <v>116</v>
      </c>
    </row>
    <row r="9" spans="1:14" x14ac:dyDescent="0.2">
      <c r="A9" t="s">
        <v>0</v>
      </c>
      <c r="B9" s="2">
        <v>0</v>
      </c>
      <c r="C9">
        <f>pxrciamassif</f>
        <v>1</v>
      </c>
      <c r="D9" s="60">
        <f>B9*C9</f>
        <v>0</v>
      </c>
      <c r="G9" s="2">
        <v>0</v>
      </c>
      <c r="K9" t="s">
        <v>117</v>
      </c>
      <c r="L9" s="69" t="e">
        <f>'Calcul Devis Chutes EC + Lgt Sp'!AD12</f>
        <v>#DIV/0!</v>
      </c>
    </row>
    <row r="10" spans="1:14" x14ac:dyDescent="0.2">
      <c r="A10" t="s">
        <v>1</v>
      </c>
      <c r="B10" s="2">
        <v>0</v>
      </c>
      <c r="C10">
        <f>pxrciacopeau</f>
        <v>0.6</v>
      </c>
      <c r="D10" s="60">
        <f>B10*C10</f>
        <v>0</v>
      </c>
      <c r="G10" s="2">
        <v>0</v>
      </c>
      <c r="K10" t="s">
        <v>119</v>
      </c>
      <c r="L10" s="46">
        <f>'Calcul Devis Chutes EC + Lgt Sp'!AD10</f>
        <v>0</v>
      </c>
    </row>
    <row r="11" spans="1:14" x14ac:dyDescent="0.2">
      <c r="A11" t="s">
        <v>13</v>
      </c>
      <c r="B11" s="56">
        <f>B9+B10</f>
        <v>0</v>
      </c>
      <c r="D11" s="56">
        <f>D9+D10</f>
        <v>0</v>
      </c>
      <c r="G11" s="56">
        <v>0</v>
      </c>
      <c r="K11" t="s">
        <v>118</v>
      </c>
      <c r="L11">
        <f>pxmarlingot</f>
        <v>24.78</v>
      </c>
    </row>
    <row r="12" spans="1:14" x14ac:dyDescent="0.2">
      <c r="D12" s="61"/>
      <c r="K12" t="s">
        <v>120</v>
      </c>
      <c r="L12" s="46">
        <f>L5-L10</f>
        <v>625.70819778142288</v>
      </c>
    </row>
    <row r="13" spans="1:14" x14ac:dyDescent="0.2">
      <c r="A13" s="9" t="s">
        <v>52</v>
      </c>
      <c r="D13" s="61"/>
      <c r="K13" t="s">
        <v>121</v>
      </c>
      <c r="L13" s="3" t="e">
        <f>(L9*L10+L11*L12)/L14</f>
        <v>#DIV/0!</v>
      </c>
    </row>
    <row r="14" spans="1:14" x14ac:dyDescent="0.2">
      <c r="B14" s="1" t="s">
        <v>2</v>
      </c>
      <c r="D14" s="61"/>
      <c r="G14" s="1" t="s">
        <v>2</v>
      </c>
      <c r="K14" t="s">
        <v>122</v>
      </c>
      <c r="L14" s="46">
        <f>L12+L10</f>
        <v>625.70819778142288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>
        <v>0</v>
      </c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>
        <v>0</v>
      </c>
    </row>
    <row r="17" spans="1:7" x14ac:dyDescent="0.2">
      <c r="A17" t="s">
        <v>13</v>
      </c>
      <c r="B17" s="56">
        <f>B15+B16</f>
        <v>0</v>
      </c>
      <c r="D17" s="56">
        <f>D15+D16</f>
        <v>0</v>
      </c>
      <c r="G17" s="56">
        <v>0</v>
      </c>
    </row>
    <row r="18" spans="1:7" x14ac:dyDescent="0.2">
      <c r="B18" s="2"/>
      <c r="D18" s="61"/>
      <c r="G18" s="2"/>
    </row>
    <row r="19" spans="1:7" x14ac:dyDescent="0.2">
      <c r="A19" s="9" t="s">
        <v>4</v>
      </c>
      <c r="D19" s="61"/>
    </row>
    <row r="20" spans="1:7" x14ac:dyDescent="0.2">
      <c r="B20" s="1" t="s">
        <v>2</v>
      </c>
      <c r="D20" s="61"/>
      <c r="G20" s="1" t="s">
        <v>2</v>
      </c>
    </row>
    <row r="21" spans="1:7" x14ac:dyDescent="0.2">
      <c r="A21" t="s">
        <v>0</v>
      </c>
      <c r="B21" s="2">
        <v>265</v>
      </c>
      <c r="C21">
        <f>pxmarmassif</f>
        <v>4.8</v>
      </c>
      <c r="D21" s="60">
        <f>B21*C21</f>
        <v>1272</v>
      </c>
      <c r="G21" s="2">
        <v>878.88298324851587</v>
      </c>
    </row>
    <row r="22" spans="1:7" x14ac:dyDescent="0.2">
      <c r="A22" t="s">
        <v>1</v>
      </c>
      <c r="B22" s="2">
        <v>398</v>
      </c>
      <c r="C22">
        <f>pxmarcopeau</f>
        <v>2.9</v>
      </c>
      <c r="D22" s="60">
        <f>B22*C22</f>
        <v>1154.2</v>
      </c>
      <c r="G22" s="2">
        <v>1318.3244748727736</v>
      </c>
    </row>
    <row r="23" spans="1:7" x14ac:dyDescent="0.2">
      <c r="A23" t="s">
        <v>13</v>
      </c>
      <c r="B23" s="56">
        <f>B21+B22</f>
        <v>663</v>
      </c>
      <c r="D23" s="56">
        <f>D21+D22</f>
        <v>2426.1999999999998</v>
      </c>
      <c r="G23" s="56">
        <v>2197.2074581212896</v>
      </c>
    </row>
    <row r="26" spans="1:7" x14ac:dyDescent="0.2">
      <c r="A26" s="9" t="s">
        <v>50</v>
      </c>
    </row>
    <row r="27" spans="1:7" x14ac:dyDescent="0.2">
      <c r="B27" s="1" t="s">
        <v>2</v>
      </c>
    </row>
    <row r="28" spans="1:7" x14ac:dyDescent="0.2">
      <c r="A28" t="s">
        <v>48</v>
      </c>
      <c r="B28" s="56">
        <f>B3+B9+B15+B21</f>
        <v>265</v>
      </c>
      <c r="C28" s="64">
        <f>B28/B30</f>
        <v>0.39969834087481149</v>
      </c>
      <c r="D28" s="62">
        <f>D3+D9+D15+D21</f>
        <v>1272</v>
      </c>
    </row>
    <row r="29" spans="1:7" x14ac:dyDescent="0.2">
      <c r="A29" t="s">
        <v>49</v>
      </c>
      <c r="B29" s="56">
        <f>B4+B10+B16+B22</f>
        <v>398</v>
      </c>
      <c r="C29" s="64">
        <f>B29/B30</f>
        <v>0.60030165912518851</v>
      </c>
      <c r="D29" s="62">
        <f>D4+D10+D16+D22</f>
        <v>1154.2</v>
      </c>
    </row>
    <row r="30" spans="1:7" x14ac:dyDescent="0.2">
      <c r="A30" t="s">
        <v>50</v>
      </c>
      <c r="B30" s="56">
        <f>B28+B29</f>
        <v>663</v>
      </c>
      <c r="D30" s="56">
        <f>D28+D29</f>
        <v>2426.1999999999998</v>
      </c>
      <c r="G30" s="56">
        <v>4264.1739581212896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0</v>
      </c>
      <c r="D35" s="62">
        <f>D28-D21</f>
        <v>0</v>
      </c>
    </row>
    <row r="36" spans="1:4" x14ac:dyDescent="0.2">
      <c r="A36" t="s">
        <v>49</v>
      </c>
      <c r="B36" s="56">
        <f>B29-B22</f>
        <v>0</v>
      </c>
      <c r="D36" s="62">
        <f>D29-D22</f>
        <v>0</v>
      </c>
    </row>
    <row r="37" spans="1:4" x14ac:dyDescent="0.2">
      <c r="A37" t="s">
        <v>50</v>
      </c>
      <c r="B37" s="56">
        <f>B35+B36</f>
        <v>0</v>
      </c>
      <c r="D37" s="56">
        <f>D35+D36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abSelected="1" topLeftCell="N1" workbookViewId="0">
      <selection activeCell="Z29" sqref="Z2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1336.3621119434222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265</v>
      </c>
      <c r="C8" s="46">
        <f>Matières!D28</f>
        <v>1272</v>
      </c>
      <c r="D8" s="10"/>
      <c r="E8" s="11" t="s">
        <v>59</v>
      </c>
      <c r="F8" s="3">
        <f>Rdtmassifs</f>
        <v>0.9</v>
      </c>
      <c r="G8" s="2">
        <f>F8*B8</f>
        <v>238.5</v>
      </c>
      <c r="H8" s="2">
        <f>((G8/F8)*(I29+I31)+(G8*I33))*parite</f>
        <v>437.60682939847999</v>
      </c>
      <c r="I8" s="10"/>
      <c r="J8" t="s">
        <v>0</v>
      </c>
      <c r="K8" s="2">
        <f>tmassifs-G8</f>
        <v>26.5</v>
      </c>
      <c r="L8" s="1"/>
      <c r="M8" s="10"/>
      <c r="N8" s="11" t="s">
        <v>72</v>
      </c>
      <c r="O8" s="2">
        <f>O12*0.9/O14</f>
        <v>122.04545454545455</v>
      </c>
      <c r="P8">
        <f>O8*pxeponge</f>
        <v>1464.5454545454545</v>
      </c>
      <c r="Q8" s="10"/>
      <c r="R8" t="s">
        <v>15</v>
      </c>
      <c r="S8" s="2">
        <f>cdfusion*AD10*parite</f>
        <v>1870.906956720791</v>
      </c>
      <c r="T8" s="10"/>
      <c r="U8" t="s">
        <v>15</v>
      </c>
      <c r="V8" s="2">
        <f>fgxfusion*AD10*parite</f>
        <v>930.03395013376121</v>
      </c>
      <c r="W8" s="10"/>
      <c r="X8" s="11" t="s">
        <v>97</v>
      </c>
      <c r="Z8" s="3">
        <f>G10+O12</f>
        <v>671.25</v>
      </c>
      <c r="AB8" s="10"/>
      <c r="AC8" t="s">
        <v>15</v>
      </c>
      <c r="AD8" s="2">
        <f>AD10*25</f>
        <v>15642.704944535571</v>
      </c>
    </row>
    <row r="9" spans="1:31" x14ac:dyDescent="0.2">
      <c r="A9" t="s">
        <v>49</v>
      </c>
      <c r="B9" s="46">
        <f>Matières!B29</f>
        <v>398</v>
      </c>
      <c r="C9" s="46">
        <f>Matières!D29</f>
        <v>1154.2</v>
      </c>
      <c r="D9" s="10"/>
      <c r="E9" t="s">
        <v>1</v>
      </c>
      <c r="F9">
        <f>Rdtcopeaux</f>
        <v>0.75</v>
      </c>
      <c r="G9" s="2">
        <f>F9*B9</f>
        <v>298.5</v>
      </c>
      <c r="H9" s="2">
        <f>((G9/F9)*(I28+I30)+G9*I32)*parite</f>
        <v>1018.5961888511858</v>
      </c>
      <c r="I9" s="10"/>
      <c r="J9" t="s">
        <v>1</v>
      </c>
      <c r="K9" s="2">
        <f>tcopeaux-G9</f>
        <v>99.5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3.3562500000000002</v>
      </c>
      <c r="Z9" s="3">
        <f>Z8-Y9</f>
        <v>667.89374999999995</v>
      </c>
      <c r="AB9" s="10"/>
    </row>
    <row r="10" spans="1:31" x14ac:dyDescent="0.2">
      <c r="A10" t="s">
        <v>50</v>
      </c>
      <c r="B10" s="2">
        <f>Matières!B30</f>
        <v>663</v>
      </c>
      <c r="C10" s="2">
        <f>Matières!D30</f>
        <v>2426.1999999999998</v>
      </c>
      <c r="D10" s="10"/>
      <c r="E10" t="s">
        <v>13</v>
      </c>
      <c r="G10" s="2">
        <f>SUM(G8:G9)</f>
        <v>537</v>
      </c>
      <c r="H10" s="2">
        <f>SUM(H8:H9)</f>
        <v>1456.2030182496658</v>
      </c>
      <c r="I10" s="10"/>
      <c r="J10" t="s">
        <v>13</v>
      </c>
      <c r="K10" s="2">
        <f>SUM(K8:K9)</f>
        <v>126</v>
      </c>
      <c r="L10">
        <f>K10*krecup*pxmarferroti</f>
        <v>249.98400000000004</v>
      </c>
      <c r="M10" s="10"/>
      <c r="N10" s="11" t="s">
        <v>73</v>
      </c>
      <c r="O10">
        <f>O12*0.1</f>
        <v>13.425000000000001</v>
      </c>
      <c r="P10">
        <f>O10*pxmasteral</f>
        <v>323.274</v>
      </c>
      <c r="Q10" s="10"/>
      <c r="T10" s="10"/>
      <c r="W10" s="10"/>
      <c r="X10" s="11" t="s">
        <v>103</v>
      </c>
      <c r="Y10">
        <f>Z9*ruplasma</f>
        <v>14.053212328081599</v>
      </c>
      <c r="Z10" s="3">
        <f>Z9-Y10</f>
        <v>653.84053767191836</v>
      </c>
      <c r="AB10" s="10"/>
      <c r="AC10" t="s">
        <v>21</v>
      </c>
      <c r="AD10" s="3">
        <f>0.932153739711617*(G10+O12)</f>
        <v>625.70819778142288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6.8870047170731015</v>
      </c>
      <c r="Z11" s="3">
        <f>Z10-Y11</f>
        <v>646.95353295484529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134.25</v>
      </c>
      <c r="P12">
        <f>P10+P8</f>
        <v>1787.8194545454544</v>
      </c>
      <c r="Q12" s="10"/>
      <c r="T12" s="10"/>
      <c r="W12" s="10"/>
      <c r="X12" s="11" t="s">
        <v>46</v>
      </c>
      <c r="Y12">
        <f>Z11*pertegalette</f>
        <v>12.765776761601717</v>
      </c>
      <c r="Z12" s="3">
        <f>Z11-Y12</f>
        <v>634.18775619324356</v>
      </c>
      <c r="AB12" s="10"/>
      <c r="AC12" s="11" t="s">
        <v>91</v>
      </c>
      <c r="AD12" s="7">
        <f>AD23+AE23</f>
        <v>18.521867714918379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8.4801107393244077</v>
      </c>
      <c r="Z13" s="3">
        <f>Z12-Y13</f>
        <v>625.7076454539191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100.80000000000001</v>
      </c>
      <c r="L14">
        <f>K14*pxmarferroti</f>
        <v>249.98400000000004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12.488582019441539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42.186104546080827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671.25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33.748883636864662</v>
      </c>
      <c r="Z19" s="3"/>
      <c r="AA19" s="80">
        <f>Y19*pxmarferroti</f>
        <v>83.697231419424355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6.0332856954768399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13.021867714918377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-0.53328569547683702</v>
      </c>
    </row>
    <row r="25" spans="1:33" x14ac:dyDescent="0.2">
      <c r="A25" s="11" t="s">
        <v>60</v>
      </c>
      <c r="C25" s="7">
        <f>C10/AD10</f>
        <v>3.8775263111504548</v>
      </c>
      <c r="D25" s="16" t="s">
        <v>22</v>
      </c>
      <c r="H25" s="73">
        <f>H10/AD10</f>
        <v>2.3272877411754123</v>
      </c>
      <c r="I25" s="74" t="s">
        <v>22</v>
      </c>
      <c r="L25" s="7">
        <f>-L14/AD10</f>
        <v>-0.39952169539470594</v>
      </c>
      <c r="M25" s="16" t="s">
        <v>22</v>
      </c>
      <c r="P25" s="7">
        <f>P8/AD10</f>
        <v>2.3406205316444657</v>
      </c>
      <c r="Q25" s="16" t="s">
        <v>22</v>
      </c>
      <c r="S25" s="7">
        <f>S8/AD10</f>
        <v>2.9900630411339923</v>
      </c>
      <c r="T25" s="16" t="s">
        <v>22</v>
      </c>
      <c r="V25" s="7">
        <f>V8/AD10</f>
        <v>1.4863700898140506</v>
      </c>
      <c r="W25" s="16" t="s">
        <v>22</v>
      </c>
      <c r="AA25" s="7">
        <f>-AA19/AD10</f>
        <v>-0.1337640000821311</v>
      </c>
      <c r="AB25" s="16" t="s">
        <v>22</v>
      </c>
      <c r="AC25" s="11" t="s">
        <v>94</v>
      </c>
      <c r="AD25" s="69">
        <f>AD23+AD24</f>
        <v>12.488582019441541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3.8775263111504548</v>
      </c>
      <c r="I46" s="21"/>
      <c r="J46" s="21"/>
      <c r="L46" s="26">
        <f t="shared" ref="L46:L52" si="0">IF(H46="",J46*parite,H46)</f>
        <v>3.8775263111504548</v>
      </c>
      <c r="M46" s="27"/>
      <c r="N46" s="28">
        <f t="shared" ref="N46:N52" si="1">IF(J46="",H46/parite,J46)</f>
        <v>2.9599437489698128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1.7765555276148184</v>
      </c>
      <c r="L47" s="26">
        <f t="shared" si="0"/>
        <v>2.3272877411754123</v>
      </c>
      <c r="M47" s="27"/>
      <c r="N47" s="28">
        <f t="shared" si="1"/>
        <v>1.7765555276148184</v>
      </c>
    </row>
    <row r="48" spans="1:22" ht="15" x14ac:dyDescent="0.25">
      <c r="G48" s="21" t="str">
        <f>J6</f>
        <v>Vente perte du processing</v>
      </c>
      <c r="H48" s="23">
        <f>L25</f>
        <v>-0.39952169539470594</v>
      </c>
      <c r="I48" s="21"/>
      <c r="J48" s="24"/>
      <c r="L48" s="26">
        <f t="shared" si="0"/>
        <v>-0.39952169539470594</v>
      </c>
      <c r="M48" s="27"/>
      <c r="N48" s="28">
        <f t="shared" si="1"/>
        <v>-0.30497839343107325</v>
      </c>
    </row>
    <row r="49" spans="7:15" ht="15" x14ac:dyDescent="0.25">
      <c r="G49" s="21" t="str">
        <f>N6</f>
        <v>Matières Premières</v>
      </c>
      <c r="H49" s="23">
        <f>P25</f>
        <v>2.3406205316444657</v>
      </c>
      <c r="I49" s="21"/>
      <c r="J49" s="24"/>
      <c r="L49" s="26">
        <f t="shared" si="0"/>
        <v>2.3406205316444657</v>
      </c>
      <c r="M49" s="27"/>
      <c r="N49" s="28">
        <f t="shared" si="1"/>
        <v>1.7867332302629508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3.1183409859565434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1.4231542880364478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-0.1337640000821311</v>
      </c>
      <c r="I52" s="21"/>
      <c r="J52" s="21"/>
      <c r="L52" s="26">
        <f t="shared" si="0"/>
        <v>-0.1337640000821311</v>
      </c>
      <c r="M52" s="27"/>
      <c r="N52" s="28">
        <f t="shared" si="1"/>
        <v>-0.10210992372681763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4.2313000000000001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11.130489874450038</v>
      </c>
      <c r="M55" s="22"/>
      <c r="N55" s="28">
        <f>SUM(N46:N50)+N52</f>
        <v>8.4965571560687323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12.553644162486487</v>
      </c>
      <c r="M56" s="33"/>
      <c r="N56" s="35">
        <f>SUM(N46:N52)</f>
        <v>9.5829344751805241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16.784944162486486</v>
      </c>
      <c r="M57" s="37"/>
      <c r="N57" s="39">
        <f>N56+N54</f>
        <v>12.812934475180525</v>
      </c>
      <c r="O57" s="40">
        <f>(N57-N55)/N57</f>
        <v>0.33687656231075652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16.131432748795135</v>
      </c>
      <c r="M58" s="42"/>
      <c r="N58" s="44">
        <f>N56*K58</f>
        <v>12.314070800606972</v>
      </c>
      <c r="O58" s="45">
        <f>(N58-N55)/N58</f>
        <v>0.31001231894411968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Q4" workbookViewId="0">
      <selection activeCell="AD29" sqref="AD2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0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0</v>
      </c>
      <c r="C8" s="46">
        <f>Matières!D35</f>
        <v>0</v>
      </c>
      <c r="D8" s="10"/>
      <c r="E8" s="11" t="s">
        <v>59</v>
      </c>
      <c r="F8" s="3">
        <f>Rdtmassifs</f>
        <v>0.9</v>
      </c>
      <c r="G8" s="2">
        <f>F8*B8</f>
        <v>0</v>
      </c>
      <c r="H8" s="2">
        <f>((G8/F8)*(I29+I31)+(G8*I33))*parite</f>
        <v>0</v>
      </c>
      <c r="I8" s="10"/>
      <c r="J8" t="s">
        <v>0</v>
      </c>
      <c r="K8" s="2">
        <f>tmassifs-G8</f>
        <v>0</v>
      </c>
      <c r="L8" s="1"/>
      <c r="M8" s="10"/>
      <c r="N8" s="11" t="s">
        <v>72</v>
      </c>
      <c r="O8" s="2">
        <f>O12*0.9/O14</f>
        <v>0</v>
      </c>
      <c r="P8">
        <f>O8*pxeponge</f>
        <v>0</v>
      </c>
      <c r="Q8" s="10"/>
      <c r="R8" t="s">
        <v>15</v>
      </c>
      <c r="S8" s="2">
        <f>cdfusion*AD10*parite</f>
        <v>0</v>
      </c>
      <c r="T8" s="10"/>
      <c r="U8" t="s">
        <v>15</v>
      </c>
      <c r="V8" s="2">
        <f>fgxfusion*AD10*parite</f>
        <v>0</v>
      </c>
      <c r="W8" s="10"/>
      <c r="X8" s="11" t="s">
        <v>97</v>
      </c>
      <c r="Z8" s="3">
        <f>G10+O12</f>
        <v>0</v>
      </c>
      <c r="AB8" s="10"/>
      <c r="AC8" t="s">
        <v>15</v>
      </c>
      <c r="AD8" s="2">
        <f>AD10*25</f>
        <v>0</v>
      </c>
    </row>
    <row r="9" spans="1:31" x14ac:dyDescent="0.2">
      <c r="A9" t="s">
        <v>49</v>
      </c>
      <c r="B9" s="46">
        <f>Matières!B36</f>
        <v>0</v>
      </c>
      <c r="C9" s="46">
        <f>Matières!D36</f>
        <v>0</v>
      </c>
      <c r="D9" s="10"/>
      <c r="E9" t="s">
        <v>1</v>
      </c>
      <c r="F9">
        <f>Rdtcopeaux</f>
        <v>0.75</v>
      </c>
      <c r="G9" s="2">
        <f>F9*B9</f>
        <v>0</v>
      </c>
      <c r="H9" s="2">
        <f>((G9/F9)*(I28+I30)+G9*I32)*parite</f>
        <v>0</v>
      </c>
      <c r="I9" s="10"/>
      <c r="J9" t="s">
        <v>1</v>
      </c>
      <c r="K9" s="2">
        <f>tcopeaux-G9</f>
        <v>0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0</v>
      </c>
      <c r="Z9" s="3">
        <f>Z8-Y9</f>
        <v>0</v>
      </c>
      <c r="AB9" s="10"/>
    </row>
    <row r="10" spans="1:31" x14ac:dyDescent="0.2">
      <c r="A10" t="s">
        <v>50</v>
      </c>
      <c r="B10" s="46">
        <f>Matières!B37</f>
        <v>0</v>
      </c>
      <c r="C10" s="46">
        <f>Matières!D37</f>
        <v>0</v>
      </c>
      <c r="D10" s="10"/>
      <c r="E10" t="s">
        <v>13</v>
      </c>
      <c r="G10" s="2">
        <f>SUM(G8:G9)</f>
        <v>0</v>
      </c>
      <c r="H10" s="2">
        <f>SUM(H8:H9)</f>
        <v>0</v>
      </c>
      <c r="I10" s="10"/>
      <c r="J10" t="s">
        <v>13</v>
      </c>
      <c r="K10" s="2">
        <f>SUM(K8:K9)</f>
        <v>0</v>
      </c>
      <c r="L10">
        <f>K10*krecup*pxmarferroti</f>
        <v>0</v>
      </c>
      <c r="M10" s="10"/>
      <c r="N10" s="11" t="s">
        <v>73</v>
      </c>
      <c r="O10">
        <f>O12*0.1</f>
        <v>0</v>
      </c>
      <c r="P10">
        <f>O10*pxmasteral</f>
        <v>0</v>
      </c>
      <c r="Q10" s="10"/>
      <c r="T10" s="10"/>
      <c r="W10" s="10"/>
      <c r="X10" s="11" t="s">
        <v>103</v>
      </c>
      <c r="Y10">
        <f>Z9*ruplasma</f>
        <v>0</v>
      </c>
      <c r="Z10" s="3">
        <f>Z9-Y10</f>
        <v>0</v>
      </c>
      <c r="AB10" s="10"/>
      <c r="AC10" t="s">
        <v>21</v>
      </c>
      <c r="AD10" s="3">
        <f>0.932153739711617*(G10+O12)</f>
        <v>0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0</v>
      </c>
      <c r="Z11" s="3">
        <f>Z10-Y11</f>
        <v>0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0</v>
      </c>
      <c r="P12">
        <f>P10+P8</f>
        <v>0</v>
      </c>
      <c r="Q12" s="10"/>
      <c r="T12" s="10"/>
      <c r="W12" s="10"/>
      <c r="X12" s="11" t="s">
        <v>46</v>
      </c>
      <c r="Y12">
        <f>Z11*pertegalette</f>
        <v>0</v>
      </c>
      <c r="Z12" s="3">
        <f>Z11-Y12</f>
        <v>0</v>
      </c>
      <c r="AB12" s="10"/>
      <c r="AC12" s="11" t="s">
        <v>91</v>
      </c>
      <c r="AD12" s="7" t="e">
        <f>AD23+AE23</f>
        <v>#DIV/0!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0</v>
      </c>
      <c r="Z13" s="3">
        <f>Z12-Y13</f>
        <v>0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0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 t="e">
        <f>C25+H25+L25+P25+S25+V25+AA25</f>
        <v>#DIV/0!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0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0</v>
      </c>
      <c r="AD18" t="e">
        <f>AD10/AC18</f>
        <v>#DIV/0!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0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 t="e">
        <f>AD12-AD14</f>
        <v>#DIV/0!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 t="e">
        <f>C25+H25+P25+S25+V25</f>
        <v>#DIV/0!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 t="e">
        <f>L25+AA25</f>
        <v>#DIV/0!</v>
      </c>
    </row>
    <row r="25" spans="1:33" x14ac:dyDescent="0.2">
      <c r="A25" s="11" t="s">
        <v>60</v>
      </c>
      <c r="C25" s="7" t="e">
        <f>C10/AD10</f>
        <v>#DIV/0!</v>
      </c>
      <c r="D25" s="16" t="s">
        <v>22</v>
      </c>
      <c r="H25" s="73" t="e">
        <f>H10/AD10</f>
        <v>#DIV/0!</v>
      </c>
      <c r="I25" s="74" t="s">
        <v>22</v>
      </c>
      <c r="L25" s="7" t="e">
        <f>-L14/AD10</f>
        <v>#DIV/0!</v>
      </c>
      <c r="M25" s="16" t="s">
        <v>22</v>
      </c>
      <c r="P25" s="7" t="e">
        <f>P8/AD10</f>
        <v>#DIV/0!</v>
      </c>
      <c r="Q25" s="16" t="s">
        <v>22</v>
      </c>
      <c r="S25" s="7" t="e">
        <f>S8/AD10</f>
        <v>#DIV/0!</v>
      </c>
      <c r="T25" s="16" t="s">
        <v>22</v>
      </c>
      <c r="V25" s="7" t="e">
        <f>V8/AD10</f>
        <v>#DIV/0!</v>
      </c>
      <c r="W25" s="16" t="s">
        <v>22</v>
      </c>
      <c r="AA25" s="7" t="e">
        <f>-AA19/AD10</f>
        <v>#DIV/0!</v>
      </c>
      <c r="AB25" s="16" t="s">
        <v>22</v>
      </c>
      <c r="AC25" s="11" t="s">
        <v>94</v>
      </c>
      <c r="AD25" s="69" t="e">
        <f>AD23+AD24</f>
        <v>#DIV/0!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 t="e">
        <f>C25</f>
        <v>#DIV/0!</v>
      </c>
      <c r="I46" s="21"/>
      <c r="J46" s="21"/>
      <c r="L46" s="26" t="e">
        <f t="shared" ref="L46:L52" si="0">IF(H46="",J46*parite,H46)</f>
        <v>#DIV/0!</v>
      </c>
      <c r="M46" s="27"/>
      <c r="N46" s="28" t="e">
        <f t="shared" ref="N46:N52" si="1">IF(J46="",H46/parite,J46)</f>
        <v>#DIV/0!</v>
      </c>
    </row>
    <row r="47" spans="1:22" ht="15" x14ac:dyDescent="0.25">
      <c r="G47" s="21" t="str">
        <f>E6</f>
        <v>Processing</v>
      </c>
      <c r="H47" s="24"/>
      <c r="I47" s="21"/>
      <c r="J47" s="25" t="e">
        <f>H25/parite</f>
        <v>#DIV/0!</v>
      </c>
      <c r="L47" s="26" t="e">
        <f t="shared" si="0"/>
        <v>#DIV/0!</v>
      </c>
      <c r="M47" s="27"/>
      <c r="N47" s="28" t="e">
        <f t="shared" si="1"/>
        <v>#DIV/0!</v>
      </c>
    </row>
    <row r="48" spans="1:22" ht="15" x14ac:dyDescent="0.25">
      <c r="G48" s="21" t="str">
        <f>J6</f>
        <v>Vente perte du processing</v>
      </c>
      <c r="H48" s="23" t="e">
        <f>L25</f>
        <v>#DIV/0!</v>
      </c>
      <c r="I48" s="21"/>
      <c r="J48" s="24"/>
      <c r="L48" s="26" t="e">
        <f t="shared" si="0"/>
        <v>#DIV/0!</v>
      </c>
      <c r="M48" s="27"/>
      <c r="N48" s="28" t="e">
        <f t="shared" si="1"/>
        <v>#DIV/0!</v>
      </c>
    </row>
    <row r="49" spans="7:15" ht="15" x14ac:dyDescent="0.25">
      <c r="G49" s="21" t="str">
        <f>N6</f>
        <v>Matières Premières</v>
      </c>
      <c r="H49" s="23" t="e">
        <f>P25</f>
        <v>#DIV/0!</v>
      </c>
      <c r="I49" s="21"/>
      <c r="J49" s="24"/>
      <c r="L49" s="26" t="e">
        <f t="shared" si="0"/>
        <v>#DIV/0!</v>
      </c>
      <c r="M49" s="27"/>
      <c r="N49" s="28" t="e">
        <f t="shared" si="1"/>
        <v>#DIV/0!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3.1183409859565434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1.4231542880364478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 t="e">
        <f>AA25</f>
        <v>#DIV/0!</v>
      </c>
      <c r="I52" s="21"/>
      <c r="J52" s="21"/>
      <c r="L52" s="26" t="e">
        <f t="shared" si="0"/>
        <v>#DIV/0!</v>
      </c>
      <c r="M52" s="27"/>
      <c r="N52" s="28" t="e">
        <f t="shared" si="1"/>
        <v>#DIV/0!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4.2313000000000001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 t="e">
        <f>SUM(L46:L50)+L52</f>
        <v>#DIV/0!</v>
      </c>
      <c r="M55" s="22"/>
      <c r="N55" s="28" t="e">
        <f>SUM(N46:N50)+N52</f>
        <v>#DIV/0!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 t="e">
        <f>SUM(L46:L52)</f>
        <v>#DIV/0!</v>
      </c>
      <c r="M56" s="33"/>
      <c r="N56" s="35" t="e">
        <f>SUM(N46:N52)</f>
        <v>#DIV/0!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 t="e">
        <f>L56+L54</f>
        <v>#DIV/0!</v>
      </c>
      <c r="M57" s="37"/>
      <c r="N57" s="39" t="e">
        <f>N56+N54</f>
        <v>#DIV/0!</v>
      </c>
      <c r="O57" s="40" t="e">
        <f>(N57-N55)/N57</f>
        <v>#DIV/0!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 t="e">
        <f>L56*K58</f>
        <v>#DIV/0!</v>
      </c>
      <c r="M58" s="42"/>
      <c r="N58" s="44" t="e">
        <f>N56*K58</f>
        <v>#DIV/0!</v>
      </c>
      <c r="O58" s="45" t="e">
        <f>(N58-N55)/N58</f>
        <v>#DIV/0!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D28" sqref="D28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40</vt:i4>
      </vt:variant>
    </vt:vector>
  </HeadingPairs>
  <TitlesOfParts>
    <vt:vector size="45" baseType="lpstr">
      <vt:lpstr>Paramètres</vt:lpstr>
      <vt:lpstr>Matières</vt:lpstr>
      <vt:lpstr>Calcul Devis 100% Chutes</vt:lpstr>
      <vt:lpstr>Calcul Devis Chutes EC + Lgt Sp</vt:lpstr>
      <vt:lpstr>Schéma Flux Fi</vt:lpstr>
      <vt:lpstr>cdfusion</vt:lpstr>
      <vt:lpstr>'Calcul Devis Chutes EC + Lgt Sp'!chuferro</vt:lpstr>
      <vt:lpstr>chuferro</vt:lpstr>
      <vt:lpstr>'Calcul Devis Chutes EC + Lgt Sp'!copeau</vt:lpstr>
      <vt:lpstr>copeau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2013-09-04T13:41:31Z</dcterms:modified>
</cp:coreProperties>
</file>