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9320" windowHeight="11130" activeTab="3"/>
  </bookViews>
  <sheets>
    <sheet name="Décomposition Coût" sheetId="1" r:id="rId1"/>
    <sheet name="Paramètres" sheetId="3" r:id="rId2"/>
    <sheet name="Matières" sheetId="5" r:id="rId3"/>
    <sheet name="Calcul Devis" sheetId="4" r:id="rId4"/>
    <sheet name="Schéma Flux Fi" sheetId="2" r:id="rId5"/>
  </sheets>
  <definedNames>
    <definedName name="cdfusion">Paramètres!$I$19</definedName>
    <definedName name="chuferro">'Calcul Devis'!$B$44</definedName>
    <definedName name="copeau">'Calcul Devis'!$B$43</definedName>
    <definedName name="eurodol">'Schéma Flux Fi'!$B$2</definedName>
    <definedName name="fgxfusion">Paramètres!$I$20</definedName>
    <definedName name="krecup">Paramètres!$E$15</definedName>
    <definedName name="massif">'Calcul Devis'!$B$42</definedName>
    <definedName name="parite">'Calcul Devis'!$B$45</definedName>
    <definedName name="partepongex">Paramètres!$L$6</definedName>
    <definedName name="PCopeaux">Paramètres!$E$4</definedName>
    <definedName name="perteecroutage">Paramètres!$I$24</definedName>
    <definedName name="pertegalette">Paramètres!$I$23</definedName>
    <definedName name="Pmassifs">Paramètres!$E$5</definedName>
    <definedName name="pxeponge">Paramètres!$L$4</definedName>
    <definedName name="pxmarcopeau">Paramètres!$C$21</definedName>
    <definedName name="pxmarferroti">Paramètres!$C$22</definedName>
    <definedName name="pxmarlingot">Paramètres!$C$19</definedName>
    <definedName name="pxmarmassif">Paramètres!$C$20</definedName>
    <definedName name="pxmasteral">Paramètres!$O$7</definedName>
    <definedName name="Rdtcopeaux">Paramètres!$E$13</definedName>
    <definedName name="Rdtmassifs">Paramètres!$E$12</definedName>
    <definedName name="ruplasma">Paramètres!$I$21</definedName>
    <definedName name="ruvar">Paramètres!$I$22</definedName>
    <definedName name="Tacopeaux">Paramètres!$E$7</definedName>
    <definedName name="Tamassifs">Paramètres!$E$8</definedName>
    <definedName name="tcopeaux">'Calcul Devis'!$B$9</definedName>
    <definedName name="tmassifs">'Calcul Devis'!$B$8</definedName>
    <definedName name="Trcopeaux">Paramètres!$E$9</definedName>
    <definedName name="Trmassifs">Paramètres!$E$10</definedName>
  </definedNames>
  <calcPr calcId="145621"/>
</workbook>
</file>

<file path=xl/calcChain.xml><?xml version="1.0" encoding="utf-8"?>
<calcChain xmlns="http://schemas.openxmlformats.org/spreadsheetml/2006/main">
  <c r="I20" i="3" l="1"/>
  <c r="I19" i="3"/>
  <c r="Y18" i="4"/>
  <c r="G8" i="1"/>
  <c r="O7" i="3"/>
  <c r="O6" i="3"/>
  <c r="O4" i="3"/>
  <c r="Q11" i="3"/>
  <c r="O10" i="3"/>
  <c r="Q10" i="3" s="1"/>
  <c r="O11" i="3"/>
  <c r="P11" i="3"/>
  <c r="Q9" i="3"/>
  <c r="O14" i="4"/>
  <c r="L12" i="4" l="1"/>
  <c r="D16" i="5"/>
  <c r="D15" i="5"/>
  <c r="D10" i="5"/>
  <c r="D9" i="5"/>
  <c r="D11" i="5" s="1"/>
  <c r="D4" i="5"/>
  <c r="D3" i="5"/>
  <c r="C22" i="5"/>
  <c r="D22" i="5" s="1"/>
  <c r="C21" i="5"/>
  <c r="D21" i="5" s="1"/>
  <c r="B29" i="5"/>
  <c r="B9" i="4" s="1"/>
  <c r="B28" i="5"/>
  <c r="B23" i="5"/>
  <c r="B17" i="5"/>
  <c r="B11" i="5"/>
  <c r="B5" i="5"/>
  <c r="AC28" i="1"/>
  <c r="AB28" i="1"/>
  <c r="I33" i="4"/>
  <c r="I32" i="4"/>
  <c r="I31" i="4"/>
  <c r="I30" i="4"/>
  <c r="I29" i="4"/>
  <c r="I28" i="4"/>
  <c r="D5" i="5" l="1"/>
  <c r="D17" i="5"/>
  <c r="B30" i="5"/>
  <c r="C28" i="5" s="1"/>
  <c r="D29" i="5"/>
  <c r="C9" i="4" s="1"/>
  <c r="B8" i="4"/>
  <c r="D28" i="5"/>
  <c r="D23" i="5"/>
  <c r="O2" i="1"/>
  <c r="B10" i="4" l="1"/>
  <c r="C29" i="5"/>
  <c r="D30" i="5"/>
  <c r="C10" i="4" s="1"/>
  <c r="C8" i="4"/>
  <c r="O3" i="1"/>
  <c r="F9" i="4" l="1"/>
  <c r="F8" i="4"/>
  <c r="G9" i="4" l="1"/>
  <c r="H9" i="4" l="1"/>
  <c r="K9" i="4"/>
  <c r="G8" i="4"/>
  <c r="N54" i="4"/>
  <c r="L54" i="4"/>
  <c r="N50" i="4"/>
  <c r="N51" i="4"/>
  <c r="L50" i="4"/>
  <c r="L51" i="4"/>
  <c r="G52" i="4"/>
  <c r="G51" i="4"/>
  <c r="G50" i="4"/>
  <c r="G49" i="4"/>
  <c r="G48" i="4"/>
  <c r="G47" i="4"/>
  <c r="H8" i="4" l="1"/>
  <c r="K8" i="4"/>
  <c r="G10" i="4"/>
  <c r="P34" i="1"/>
  <c r="Q34" i="1" s="1"/>
  <c r="Q33" i="1"/>
  <c r="C24" i="2"/>
  <c r="C25" i="2"/>
  <c r="D24" i="2"/>
  <c r="E24" i="2"/>
  <c r="F24" i="2"/>
  <c r="G24" i="2"/>
  <c r="H24" i="2"/>
  <c r="I24" i="2"/>
  <c r="J24" i="2"/>
  <c r="K24" i="2"/>
  <c r="L24" i="2"/>
  <c r="M24" i="2"/>
  <c r="N24" i="2"/>
  <c r="O24" i="2"/>
  <c r="B24" i="2"/>
  <c r="B26" i="2"/>
  <c r="B19" i="2"/>
  <c r="B13" i="2"/>
  <c r="H15" i="2"/>
  <c r="D15" i="2"/>
  <c r="H9" i="2"/>
  <c r="D9" i="2"/>
  <c r="L9" i="2" s="1"/>
  <c r="M30" i="1"/>
  <c r="C10" i="1"/>
  <c r="C18" i="1" s="1"/>
  <c r="C16" i="1"/>
  <c r="C20" i="1"/>
  <c r="G9" i="1"/>
  <c r="G10" i="1" s="1"/>
  <c r="G12" i="1" s="1"/>
  <c r="O10" i="1"/>
  <c r="R10" i="1"/>
  <c r="U10" i="1"/>
  <c r="X10" i="1"/>
  <c r="AA12" i="1"/>
  <c r="J8" i="1"/>
  <c r="J10" i="1" s="1"/>
  <c r="J9" i="1"/>
  <c r="F10" i="1"/>
  <c r="B10" i="1"/>
  <c r="B18" i="1" s="1"/>
  <c r="B16" i="1"/>
  <c r="M29" i="1" l="1"/>
  <c r="M31" i="1" s="1"/>
  <c r="Q31" i="1" s="1"/>
  <c r="Q32" i="1" s="1"/>
  <c r="O12" i="4"/>
  <c r="Z8" i="4" s="1"/>
  <c r="Y9" i="4" s="1"/>
  <c r="Z9" i="4" s="1"/>
  <c r="Y10" i="4" s="1"/>
  <c r="H10" i="4"/>
  <c r="K10" i="4"/>
  <c r="K14" i="4" s="1"/>
  <c r="L14" i="4" s="1"/>
  <c r="C11" i="2"/>
  <c r="C12" i="2" s="1"/>
  <c r="C13" i="2" s="1"/>
  <c r="L11" i="2"/>
  <c r="I14" i="2"/>
  <c r="T31" i="1"/>
  <c r="T32" i="1" s="1"/>
  <c r="C26" i="2"/>
  <c r="D25" i="2"/>
  <c r="I11" i="2"/>
  <c r="M11" i="2"/>
  <c r="D11" i="2"/>
  <c r="F11" i="2"/>
  <c r="J11" i="2"/>
  <c r="N11" i="2"/>
  <c r="E11" i="2"/>
  <c r="G11" i="2"/>
  <c r="K11" i="2"/>
  <c r="O11" i="2"/>
  <c r="H11" i="2"/>
  <c r="B11" i="2"/>
  <c r="I20" i="2"/>
  <c r="H22" i="2"/>
  <c r="I27" i="2" s="1"/>
  <c r="L15" i="2"/>
  <c r="Z10" i="4" l="1"/>
  <c r="Y11" i="4" s="1"/>
  <c r="Z11" i="4" s="1"/>
  <c r="Y12" i="4" s="1"/>
  <c r="Z12" i="4" s="1"/>
  <c r="Y13" i="4" s="1"/>
  <c r="Z13" i="4" s="1"/>
  <c r="AD10" i="4"/>
  <c r="O8" i="4"/>
  <c r="P8" i="4" s="1"/>
  <c r="O10" i="4"/>
  <c r="P10" i="4" s="1"/>
  <c r="AC18" i="4"/>
  <c r="L10" i="4"/>
  <c r="D12" i="2"/>
  <c r="D13" i="2" s="1"/>
  <c r="D26" i="2"/>
  <c r="E25" i="2"/>
  <c r="E17" i="2"/>
  <c r="I17" i="2"/>
  <c r="M17" i="2"/>
  <c r="F17" i="2"/>
  <c r="J17" i="2"/>
  <c r="N17" i="2"/>
  <c r="C17" i="2"/>
  <c r="C18" i="2" s="1"/>
  <c r="C19" i="2" s="1"/>
  <c r="G17" i="2"/>
  <c r="K17" i="2"/>
  <c r="O17" i="2"/>
  <c r="D17" i="2"/>
  <c r="D18" i="2" s="1"/>
  <c r="D19" i="2" s="1"/>
  <c r="H17" i="2"/>
  <c r="L17" i="2"/>
  <c r="B17" i="2"/>
  <c r="Y17" i="4" l="1"/>
  <c r="Y19" i="4" s="1"/>
  <c r="AA19" i="4" s="1"/>
  <c r="AA25" i="4" s="1"/>
  <c r="H52" i="4" s="1"/>
  <c r="N52" i="4" s="1"/>
  <c r="C25" i="4"/>
  <c r="H46" i="4" s="1"/>
  <c r="N46" i="4" s="1"/>
  <c r="AD8" i="4"/>
  <c r="AD12" i="4" s="1"/>
  <c r="V8" i="4"/>
  <c r="V25" i="4" s="1"/>
  <c r="S8" i="4"/>
  <c r="S25" i="4" s="1"/>
  <c r="H25" i="4"/>
  <c r="L25" i="4"/>
  <c r="P25" i="4"/>
  <c r="H49" i="4" s="1"/>
  <c r="N49" i="4" s="1"/>
  <c r="AD18" i="4"/>
  <c r="P12" i="4"/>
  <c r="E12" i="2"/>
  <c r="E18" i="2"/>
  <c r="E19" i="2" s="1"/>
  <c r="E26" i="2"/>
  <c r="F25" i="2"/>
  <c r="H48" i="4" l="1"/>
  <c r="L48" i="4" s="1"/>
  <c r="AD24" i="4"/>
  <c r="J47" i="4"/>
  <c r="N47" i="4" s="1"/>
  <c r="AD23" i="4"/>
  <c r="S2" i="4"/>
  <c r="L52" i="4"/>
  <c r="AD14" i="4"/>
  <c r="AD20" i="4" s="1"/>
  <c r="L49" i="4"/>
  <c r="L46" i="4"/>
  <c r="E13" i="2"/>
  <c r="F12" i="2"/>
  <c r="G25" i="2"/>
  <c r="F26" i="2"/>
  <c r="F18" i="2"/>
  <c r="AE28" i="4" l="1"/>
  <c r="L5" i="5" s="1"/>
  <c r="AE23" i="4"/>
  <c r="N48" i="4"/>
  <c r="N56" i="4" s="1"/>
  <c r="N57" i="4" s="1"/>
  <c r="AG23" i="4"/>
  <c r="AD25" i="4"/>
  <c r="AE25" i="4" s="1"/>
  <c r="L47" i="4"/>
  <c r="L56" i="4" s="1"/>
  <c r="L58" i="4" s="1"/>
  <c r="F13" i="2"/>
  <c r="G12" i="2"/>
  <c r="H25" i="2"/>
  <c r="G26" i="2"/>
  <c r="F19" i="2"/>
  <c r="G18" i="2"/>
  <c r="N55" i="4" l="1"/>
  <c r="O57" i="4" s="1"/>
  <c r="AG25" i="4"/>
  <c r="AE29" i="4"/>
  <c r="L4" i="5" s="1"/>
  <c r="N58" i="4"/>
  <c r="L55" i="4"/>
  <c r="L57" i="4"/>
  <c r="G13" i="2"/>
  <c r="H12" i="2"/>
  <c r="G19" i="2"/>
  <c r="H18" i="2"/>
  <c r="H26" i="2"/>
  <c r="I25" i="2"/>
  <c r="O58" i="4" l="1"/>
  <c r="H13" i="2"/>
  <c r="I12" i="2"/>
  <c r="I26" i="2"/>
  <c r="J25" i="2"/>
  <c r="H19" i="2"/>
  <c r="I18" i="2"/>
  <c r="I13" i="2" l="1"/>
  <c r="J12" i="2"/>
  <c r="J26" i="2"/>
  <c r="K25" i="2"/>
  <c r="I19" i="2"/>
  <c r="J18" i="2"/>
  <c r="J13" i="2" l="1"/>
  <c r="K12" i="2"/>
  <c r="J19" i="2"/>
  <c r="K18" i="2"/>
  <c r="L25" i="2"/>
  <c r="K26" i="2"/>
  <c r="K13" i="2" l="1"/>
  <c r="L12" i="2"/>
  <c r="K19" i="2"/>
  <c r="L18" i="2"/>
  <c r="L26" i="2"/>
  <c r="M25" i="2"/>
  <c r="L13" i="2" l="1"/>
  <c r="M12" i="2"/>
  <c r="M26" i="2"/>
  <c r="N25" i="2"/>
  <c r="L19" i="2"/>
  <c r="M18" i="2"/>
  <c r="M13" i="2" l="1"/>
  <c r="N12" i="2"/>
  <c r="M19" i="2"/>
  <c r="N18" i="2"/>
  <c r="N26" i="2"/>
  <c r="O25" i="2"/>
  <c r="O26" i="2" s="1"/>
  <c r="N13" i="2" l="1"/>
  <c r="O12" i="2"/>
  <c r="O13" i="2" s="1"/>
  <c r="N19" i="2"/>
  <c r="O18" i="2"/>
  <c r="O19" i="2" s="1"/>
</calcChain>
</file>

<file path=xl/comments1.xml><?xml version="1.0" encoding="utf-8"?>
<comments xmlns="http://schemas.openxmlformats.org/spreadsheetml/2006/main">
  <authors>
    <author>Patrick Delaborde</author>
  </authors>
  <commentList>
    <comment ref="I19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Nouvelle valeur 2013 04 en phase avec DAE (diminution des coûts de maintenance et passage en amortissement du résiduel + hausse des prestations, ajout des hypothèses de productivité MO et Œuvres sociales).</t>
        </r>
      </text>
    </comment>
  </commentList>
</comments>
</file>

<file path=xl/comments2.xml><?xml version="1.0" encoding="utf-8"?>
<comments xmlns="http://schemas.openxmlformats.org/spreadsheetml/2006/main">
  <authors>
    <author>Patrick Delaborde</author>
  </authors>
  <commentList>
    <comment ref="AF23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 </t>
        </r>
      </text>
    </comment>
    <comment ref="AF25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</t>
        </r>
      </text>
    </comment>
  </commentList>
</comments>
</file>

<file path=xl/sharedStrings.xml><?xml version="1.0" encoding="utf-8"?>
<sst xmlns="http://schemas.openxmlformats.org/spreadsheetml/2006/main" count="247" uniqueCount="122">
  <si>
    <t>Chutes Eco Circulaire</t>
  </si>
  <si>
    <t>Massif</t>
  </si>
  <si>
    <t>Copeaux</t>
  </si>
  <si>
    <t>t</t>
  </si>
  <si>
    <t>$</t>
  </si>
  <si>
    <t>k$</t>
  </si>
  <si>
    <t>Chutes Marché Libre</t>
  </si>
  <si>
    <t>Processing</t>
  </si>
  <si>
    <t>Coût du processing copeaux (€/kg) :</t>
  </si>
  <si>
    <t>Coût du processing chutes (€/kg) :</t>
  </si>
  <si>
    <t>Coût du transport aller des copeaux (€/kg) :</t>
  </si>
  <si>
    <t>Coût du transport aller des chutes (€/kg) :</t>
  </si>
  <si>
    <t>Coût du transport retour des copeaux (€/kg) :</t>
  </si>
  <si>
    <t>Coût du transport retour des chutes (€/kg) :</t>
  </si>
  <si>
    <t>Vente perte du processing</t>
  </si>
  <si>
    <t>Eponges + MA</t>
  </si>
  <si>
    <t>Total</t>
  </si>
  <si>
    <t>CD</t>
  </si>
  <si>
    <t>Montant</t>
  </si>
  <si>
    <t>FGx</t>
  </si>
  <si>
    <t>Vente chutes</t>
  </si>
  <si>
    <t>CA</t>
  </si>
  <si>
    <t>Vente</t>
  </si>
  <si>
    <t>Gain</t>
  </si>
  <si>
    <t>Année 2020</t>
  </si>
  <si>
    <t>Tonnage lingot</t>
  </si>
  <si>
    <t>k€</t>
  </si>
  <si>
    <t>$/kg</t>
  </si>
  <si>
    <t>Matières Premières</t>
  </si>
  <si>
    <t>Total Décaissement</t>
  </si>
  <si>
    <t>Tonnes Lingots</t>
  </si>
  <si>
    <t>Marge 1</t>
  </si>
  <si>
    <t>Parité</t>
  </si>
  <si>
    <t>CC</t>
  </si>
  <si>
    <t>Marge  (base 2 CD)</t>
  </si>
  <si>
    <t>Marge Générée</t>
  </si>
  <si>
    <t>Cumul Marge</t>
  </si>
  <si>
    <t>Marge  (base 1,5 CC)</t>
  </si>
  <si>
    <t>Cumul Résultat</t>
  </si>
  <si>
    <t>Marge 2</t>
  </si>
  <si>
    <t>Cible Marge</t>
  </si>
  <si>
    <t>Marge Nécessaire</t>
  </si>
  <si>
    <t>Achat +CA</t>
  </si>
  <si>
    <t>Chutes</t>
  </si>
  <si>
    <t>€/kg</t>
  </si>
  <si>
    <t>Marge Cible</t>
  </si>
  <si>
    <t>Coût Direct</t>
  </si>
  <si>
    <t>Coût Complet</t>
  </si>
  <si>
    <t>Prix de Vente Cible</t>
  </si>
  <si>
    <t>Prix de Vente Possible</t>
  </si>
  <si>
    <t>Mco</t>
  </si>
  <si>
    <t>Chu FeTi</t>
  </si>
  <si>
    <t>Parité €/$</t>
  </si>
  <si>
    <t>Galettes de refusion</t>
  </si>
  <si>
    <t>Copeaux de mise à blanc du lingot.</t>
  </si>
  <si>
    <t>Rdt</t>
  </si>
  <si>
    <t>Total Massif</t>
  </si>
  <si>
    <t>Total Copeaux</t>
  </si>
  <si>
    <t>Total Chutes</t>
  </si>
  <si>
    <t>Chutes Internes</t>
  </si>
  <si>
    <t>Chutes "Négoce"</t>
  </si>
  <si>
    <t>Processing / Traitement des chutes</t>
  </si>
  <si>
    <t>Coût du processing massifs (€/kg) :</t>
  </si>
  <si>
    <t>Coût du transport aller des massifs (€/kg) :</t>
  </si>
  <si>
    <t>Coût du transport retour des massifs (€/kg) :</t>
  </si>
  <si>
    <t>Rendement Traitement Copeaux</t>
  </si>
  <si>
    <t>Rendement Traitement Massifs</t>
  </si>
  <si>
    <t>Massifs</t>
  </si>
  <si>
    <t>Prix Unitaire</t>
  </si>
  <si>
    <t>Parité € / $</t>
  </si>
  <si>
    <t>Bilan Matière</t>
  </si>
  <si>
    <t>Prix Lingot ($/kg)</t>
  </si>
  <si>
    <t>Prix Massif ($/kg)</t>
  </si>
  <si>
    <t>Prix Copeaux ($/kg)</t>
  </si>
  <si>
    <t>Prix Chutes Ferroti ($/kg)</t>
  </si>
  <si>
    <t>Données Marché Libre TA6V</t>
  </si>
  <si>
    <t>Tonnage</t>
  </si>
  <si>
    <t>Prix Total 
(k$)</t>
  </si>
  <si>
    <t>Prix Unitaire 
($/kg)</t>
  </si>
  <si>
    <t>Récupération</t>
  </si>
  <si>
    <t>Coefficient de récupération pour vente de chutes</t>
  </si>
  <si>
    <t>Eponges</t>
  </si>
  <si>
    <t>Master Alloy</t>
  </si>
  <si>
    <t>Indice Eponge</t>
  </si>
  <si>
    <t>Eponges ($/kg)</t>
  </si>
  <si>
    <t>Total MA+Eponges</t>
  </si>
  <si>
    <t>Indice Malloy</t>
  </si>
  <si>
    <t>Marge</t>
  </si>
  <si>
    <t>Chutes Eco Circulaire Client</t>
  </si>
  <si>
    <t>Eponge exploitable</t>
  </si>
  <si>
    <t>Part éponges hors Poussières</t>
  </si>
  <si>
    <t>Malloy V/A 35/65 ($/kg)</t>
  </si>
  <si>
    <t>Complément V %</t>
  </si>
  <si>
    <t>1Kg MA 35V 65A</t>
  </si>
  <si>
    <t>V</t>
  </si>
  <si>
    <t>A</t>
  </si>
  <si>
    <t>Vanadium ($/kg)</t>
  </si>
  <si>
    <t>Exploitation</t>
  </si>
  <si>
    <t>CD (€/kg)</t>
  </si>
  <si>
    <t>Fgx (€/kg)</t>
  </si>
  <si>
    <t>Prix de vente</t>
  </si>
  <si>
    <t>Coût de production hors vente chute</t>
  </si>
  <si>
    <t>Vente Chutes</t>
  </si>
  <si>
    <t>Coût de production</t>
  </si>
  <si>
    <t>Marge ($/kg)</t>
  </si>
  <si>
    <t>Marge (€/kg)</t>
  </si>
  <si>
    <t>Prix de vente ss chute</t>
  </si>
  <si>
    <t>Prix de vente avec chute</t>
  </si>
  <si>
    <t>Total Enf</t>
  </si>
  <si>
    <t>PaF</t>
  </si>
  <si>
    <t>Rebut Plasma</t>
  </si>
  <si>
    <t>Rebut Var</t>
  </si>
  <si>
    <t>t nettes</t>
  </si>
  <si>
    <t>t écartées</t>
  </si>
  <si>
    <t>Ruplasma</t>
  </si>
  <si>
    <t>Ruvar</t>
  </si>
  <si>
    <t>Galettes</t>
  </si>
  <si>
    <t>Mise à blanc</t>
  </si>
  <si>
    <t>Mise à Blanc</t>
  </si>
  <si>
    <t>Devis</t>
  </si>
  <si>
    <t>Avec Vente Chutes</t>
  </si>
  <si>
    <t>Ss Vente Chutes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</si>
</sst>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€&quot;;[Red]\-#,##0\ &quot;€&quot;"/>
    <numFmt numFmtId="43" formatCode="_-* #,##0.00\ _€_-;\-* #,##0.00\ _€_-;_-* &quot;-&quot;??\ _€_-;_-@_-"/>
    <numFmt numFmtId="164" formatCode="0.000"/>
    <numFmt numFmtId="165" formatCode="_-[$$-409]* #,##0.00_ ;_-[$$-409]* \-#,##0.00\ ;_-[$$-409]* &quot;-&quot;??_ ;_-@_ "/>
    <numFmt numFmtId="166" formatCode="_-* #,##0.00\ [$€-40C]_-;\-* #,##0.00\ [$€-40C]_-;_-* &quot;-&quot;??\ [$€-40C]_-;_-@_-"/>
    <numFmt numFmtId="167" formatCode="* #,##0.00&quot; €/kg&quot;"/>
    <numFmt numFmtId="168" formatCode="* #,##0&quot; k€&quot;"/>
    <numFmt numFmtId="169" formatCode="* #,##0.00&quot; $/kg&quot;"/>
    <numFmt numFmtId="170" formatCode="0.000000"/>
  </numFmts>
  <fonts count="15" x14ac:knownFonts="1">
    <font>
      <sz val="10"/>
      <name val="Arial"/>
    </font>
    <font>
      <sz val="8"/>
      <name val="Arial"/>
      <family val="2"/>
    </font>
    <font>
      <b/>
      <sz val="2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name val="Arial"/>
      <family val="2"/>
    </font>
    <font>
      <sz val="10"/>
      <name val="Arial"/>
    </font>
    <font>
      <b/>
      <sz val="12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double">
        <color rgb="FFFF8001"/>
      </bottom>
      <diagonal/>
    </border>
    <border>
      <left/>
      <right/>
      <top style="thin">
        <color indexed="64"/>
      </top>
      <bottom style="double">
        <color rgb="FFFF8001"/>
      </bottom>
      <diagonal/>
    </border>
    <border>
      <left/>
      <right style="thin">
        <color indexed="64"/>
      </right>
      <top style="thin">
        <color indexed="64"/>
      </top>
      <bottom style="double">
        <color rgb="FFFF80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3" applyNumberFormat="0" applyFill="0" applyAlignment="0" applyProtection="0"/>
    <xf numFmtId="0" fontId="6" fillId="6" borderId="2" applyNumberFormat="0" applyAlignment="0" applyProtection="0"/>
    <xf numFmtId="0" fontId="7" fillId="5" borderId="4" applyNumberFormat="0" applyAlignment="0" applyProtection="0"/>
    <xf numFmtId="0" fontId="8" fillId="7" borderId="5" applyNumberFormat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1" fontId="0" fillId="0" borderId="0" xfId="0" applyNumberFormat="1"/>
    <xf numFmtId="164" fontId="0" fillId="3" borderId="0" xfId="0" applyNumberFormat="1" applyFill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164" fontId="0" fillId="4" borderId="0" xfId="0" applyNumberFormat="1" applyFill="1" applyAlignment="1">
      <alignment horizontal="center"/>
    </xf>
    <xf numFmtId="0" fontId="0" fillId="2" borderId="0" xfId="0" applyFill="1"/>
    <xf numFmtId="0" fontId="4" fillId="0" borderId="0" xfId="0" applyFon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0" fillId="8" borderId="0" xfId="0" applyFill="1"/>
    <xf numFmtId="164" fontId="0" fillId="0" borderId="0" xfId="0" applyNumberFormat="1" applyFill="1" applyAlignment="1">
      <alignment horizontal="center"/>
    </xf>
    <xf numFmtId="0" fontId="0" fillId="0" borderId="0" xfId="0" applyFill="1"/>
    <xf numFmtId="169" fontId="0" fillId="0" borderId="0" xfId="0" applyNumberFormat="1" applyFill="1"/>
    <xf numFmtId="0" fontId="8" fillId="7" borderId="5" xfId="4"/>
    <xf numFmtId="0" fontId="6" fillId="6" borderId="2" xfId="2"/>
    <xf numFmtId="0" fontId="7" fillId="5" borderId="4" xfId="3"/>
    <xf numFmtId="169" fontId="6" fillId="6" borderId="2" xfId="2" applyNumberFormat="1"/>
    <xf numFmtId="164" fontId="6" fillId="6" borderId="2" xfId="2" applyNumberFormat="1"/>
    <xf numFmtId="167" fontId="6" fillId="6" borderId="2" xfId="2" applyNumberFormat="1"/>
    <xf numFmtId="169" fontId="7" fillId="5" borderId="4" xfId="3" applyNumberFormat="1"/>
    <xf numFmtId="164" fontId="7" fillId="5" borderId="4" xfId="3" applyNumberFormat="1"/>
    <xf numFmtId="167" fontId="7" fillId="5" borderId="4" xfId="3" applyNumberFormat="1"/>
    <xf numFmtId="9" fontId="7" fillId="5" borderId="4" xfId="3" applyNumberFormat="1"/>
    <xf numFmtId="167" fontId="8" fillId="7" borderId="5" xfId="4" applyNumberFormat="1"/>
    <xf numFmtId="169" fontId="8" fillId="7" borderId="5" xfId="4" applyNumberFormat="1"/>
    <xf numFmtId="164" fontId="8" fillId="7" borderId="5" xfId="4" applyNumberFormat="1"/>
    <xf numFmtId="0" fontId="7" fillId="5" borderId="6" xfId="3" applyBorder="1"/>
    <xf numFmtId="169" fontId="7" fillId="5" borderId="6" xfId="3" applyNumberFormat="1" applyBorder="1"/>
    <xf numFmtId="167" fontId="7" fillId="5" borderId="6" xfId="3" applyNumberFormat="1" applyBorder="1"/>
    <xf numFmtId="0" fontId="5" fillId="5" borderId="7" xfId="1" applyFill="1" applyBorder="1"/>
    <xf numFmtId="0" fontId="5" fillId="5" borderId="8" xfId="1" applyFill="1" applyBorder="1"/>
    <xf numFmtId="169" fontId="5" fillId="5" borderId="8" xfId="1" applyNumberFormat="1" applyFill="1" applyBorder="1"/>
    <xf numFmtId="167" fontId="5" fillId="5" borderId="8" xfId="1" applyNumberFormat="1" applyFill="1" applyBorder="1"/>
    <xf numFmtId="9" fontId="5" fillId="5" borderId="9" xfId="1" applyNumberFormat="1" applyFill="1" applyBorder="1"/>
    <xf numFmtId="0" fontId="5" fillId="5" borderId="10" xfId="1" applyFill="1" applyBorder="1"/>
    <xf numFmtId="0" fontId="5" fillId="5" borderId="11" xfId="1" applyFill="1" applyBorder="1"/>
    <xf numFmtId="169" fontId="5" fillId="5" borderId="11" xfId="1" applyNumberFormat="1" applyFill="1" applyBorder="1"/>
    <xf numFmtId="167" fontId="5" fillId="5" borderId="11" xfId="1" applyNumberFormat="1" applyFill="1" applyBorder="1"/>
    <xf numFmtId="9" fontId="5" fillId="5" borderId="12" xfId="1" applyNumberFormat="1" applyFill="1" applyBorder="1"/>
    <xf numFmtId="1" fontId="0" fillId="0" borderId="0" xfId="0" applyNumberFormat="1"/>
    <xf numFmtId="170" fontId="0" fillId="0" borderId="0" xfId="0" applyNumberFormat="1"/>
    <xf numFmtId="0" fontId="9" fillId="0" borderId="0" xfId="0" applyFont="1"/>
    <xf numFmtId="0" fontId="4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9" borderId="1" xfId="0" applyFill="1" applyBorder="1"/>
    <xf numFmtId="2" fontId="0" fillId="10" borderId="0" xfId="0" applyNumberFormat="1" applyFill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43" fontId="0" fillId="10" borderId="0" xfId="5" applyNumberFormat="1" applyFont="1" applyFill="1" applyAlignment="1">
      <alignment horizontal="right"/>
    </xf>
    <xf numFmtId="43" fontId="0" fillId="0" borderId="0" xfId="5" applyNumberFormat="1" applyFont="1"/>
    <xf numFmtId="43" fontId="0" fillId="10" borderId="0" xfId="5" applyNumberFormat="1" applyFont="1" applyFill="1"/>
    <xf numFmtId="9" fontId="0" fillId="2" borderId="1" xfId="6" applyFont="1" applyFill="1" applyBorder="1" applyAlignment="1">
      <alignment horizontal="center"/>
    </xf>
    <xf numFmtId="9" fontId="0" fillId="0" borderId="0" xfId="6" applyFont="1"/>
    <xf numFmtId="0" fontId="4" fillId="0" borderId="1" xfId="0" applyFont="1" applyBorder="1"/>
    <xf numFmtId="6" fontId="0" fillId="0" borderId="1" xfId="0" applyNumberFormat="1" applyBorder="1"/>
    <xf numFmtId="2" fontId="0" fillId="2" borderId="1" xfId="6" applyNumberFormat="1" applyFont="1" applyFill="1" applyBorder="1" applyAlignment="1">
      <alignment horizontal="center"/>
    </xf>
    <xf numFmtId="0" fontId="12" fillId="0" borderId="0" xfId="0" applyFont="1"/>
    <xf numFmtId="164" fontId="0" fillId="0" borderId="0" xfId="0" applyNumberFormat="1"/>
    <xf numFmtId="165" fontId="0" fillId="2" borderId="1" xfId="6" applyNumberFormat="1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2" fontId="0" fillId="11" borderId="0" xfId="0" applyNumberFormat="1" applyFill="1" applyBorder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4" fillId="8" borderId="0" xfId="0" applyFont="1" applyFill="1"/>
    <xf numFmtId="0" fontId="4" fillId="0" borderId="1" xfId="0" applyFont="1" applyBorder="1" applyAlignment="1">
      <alignment wrapText="1"/>
    </xf>
    <xf numFmtId="0" fontId="4" fillId="0" borderId="0" xfId="0" applyFont="1" applyFill="1" applyBorder="1"/>
    <xf numFmtId="166" fontId="0" fillId="9" borderId="1" xfId="0" applyNumberFormat="1" applyFill="1" applyBorder="1"/>
    <xf numFmtId="0" fontId="4" fillId="0" borderId="1" xfId="0" applyFont="1" applyFill="1" applyBorder="1"/>
    <xf numFmtId="10" fontId="0" fillId="9" borderId="1" xfId="6" applyNumberFormat="1" applyFont="1" applyFill="1" applyBorder="1"/>
    <xf numFmtId="2" fontId="4" fillId="11" borderId="0" xfId="0" applyNumberFormat="1" applyFont="1" applyFill="1" applyAlignment="1">
      <alignment horizontal="center"/>
    </xf>
    <xf numFmtId="0" fontId="3" fillId="0" borderId="0" xfId="0" applyFont="1" applyAlignment="1">
      <alignment wrapText="1"/>
    </xf>
    <xf numFmtId="164" fontId="3" fillId="0" borderId="0" xfId="0" applyNumberFormat="1" applyFont="1"/>
    <xf numFmtId="0" fontId="0" fillId="0" borderId="1" xfId="0" applyBorder="1" applyAlignment="1">
      <alignment vertical="center"/>
    </xf>
  </cellXfs>
  <cellStyles count="7">
    <cellStyle name="Cellule liée" xfId="1" builtinId="24"/>
    <cellStyle name="Entrée" xfId="2" builtinId="20"/>
    <cellStyle name="Milliers" xfId="5" builtinId="3"/>
    <cellStyle name="Normal" xfId="0" builtinId="0"/>
    <cellStyle name="Pourcentage" xfId="6" builtinId="5"/>
    <cellStyle name="Sortie" xfId="3" builtinId="21"/>
    <cellStyle name="Vérification" xfId="4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topLeftCell="G1" workbookViewId="0">
      <selection activeCell="X23" sqref="X23"/>
    </sheetView>
  </sheetViews>
  <sheetFormatPr baseColWidth="10" defaultRowHeight="12.75" x14ac:dyDescent="0.2"/>
  <cols>
    <col min="2" max="2" width="7.5703125" bestFit="1" customWidth="1"/>
    <col min="3" max="3" width="8.5703125" bestFit="1" customWidth="1"/>
    <col min="4" max="4" width="3.28515625" customWidth="1"/>
    <col min="5" max="5" width="8.5703125" customWidth="1"/>
    <col min="6" max="6" width="7.5703125" bestFit="1" customWidth="1"/>
    <col min="7" max="7" width="8.85546875" customWidth="1"/>
    <col min="8" max="8" width="8.42578125" customWidth="1"/>
    <col min="10" max="10" width="6.5703125" bestFit="1" customWidth="1"/>
    <col min="11" max="11" width="5.85546875" bestFit="1" customWidth="1"/>
    <col min="12" max="12" width="4.28515625" customWidth="1"/>
    <col min="13" max="13" width="14.7109375" customWidth="1"/>
    <col min="14" max="14" width="6.5703125" bestFit="1" customWidth="1"/>
    <col min="15" max="15" width="8.5703125" customWidth="1"/>
    <col min="16" max="16" width="4.140625" customWidth="1"/>
    <col min="17" max="17" width="8.28515625" customWidth="1"/>
    <col min="18" max="18" width="8.5703125" bestFit="1" customWidth="1"/>
    <col min="19" max="19" width="4.7109375" customWidth="1"/>
    <col min="20" max="20" width="8.5703125" customWidth="1"/>
    <col min="21" max="21" width="7.5703125" bestFit="1" customWidth="1"/>
    <col min="22" max="22" width="3.7109375" customWidth="1"/>
    <col min="23" max="23" width="7.7109375" customWidth="1"/>
    <col min="24" max="24" width="7.5703125" bestFit="1" customWidth="1"/>
    <col min="25" max="25" width="3" customWidth="1"/>
    <col min="26" max="26" width="12.85546875" customWidth="1"/>
    <col min="27" max="27" width="8.5703125" bestFit="1" customWidth="1"/>
  </cols>
  <sheetData>
    <row r="1" spans="1:28" ht="26.25" x14ac:dyDescent="0.4">
      <c r="A1" s="9" t="s">
        <v>24</v>
      </c>
    </row>
    <row r="2" spans="1:28" x14ac:dyDescent="0.2">
      <c r="O2">
        <f>N8/AA10</f>
        <v>0.21455688206740933</v>
      </c>
    </row>
    <row r="3" spans="1:28" x14ac:dyDescent="0.2">
      <c r="O3">
        <f>O8/N8</f>
        <v>11.498909090909091</v>
      </c>
    </row>
    <row r="6" spans="1:28" x14ac:dyDescent="0.2">
      <c r="A6" s="10" t="s">
        <v>0</v>
      </c>
      <c r="D6" s="12"/>
      <c r="E6" s="10" t="s">
        <v>7</v>
      </c>
      <c r="H6" s="12"/>
      <c r="I6" s="10" t="s">
        <v>14</v>
      </c>
      <c r="L6" s="12"/>
      <c r="M6" s="10" t="s">
        <v>28</v>
      </c>
      <c r="P6" s="12"/>
      <c r="Q6" s="10" t="s">
        <v>17</v>
      </c>
      <c r="S6" s="12"/>
      <c r="T6" s="10" t="s">
        <v>19</v>
      </c>
      <c r="V6" s="12"/>
      <c r="W6" s="10" t="s">
        <v>20</v>
      </c>
      <c r="Y6" s="12"/>
      <c r="Z6" s="10" t="s">
        <v>21</v>
      </c>
    </row>
    <row r="7" spans="1:28" x14ac:dyDescent="0.2">
      <c r="B7" s="1" t="s">
        <v>3</v>
      </c>
      <c r="C7" s="1" t="s">
        <v>5</v>
      </c>
      <c r="D7" s="12"/>
      <c r="F7" s="1" t="s">
        <v>3</v>
      </c>
      <c r="G7" s="1" t="s">
        <v>5</v>
      </c>
      <c r="H7" s="12"/>
      <c r="J7" s="1" t="s">
        <v>3</v>
      </c>
      <c r="K7" s="1" t="s">
        <v>5</v>
      </c>
      <c r="L7" s="12"/>
      <c r="N7" s="1" t="s">
        <v>3</v>
      </c>
      <c r="O7" s="1" t="s">
        <v>5</v>
      </c>
      <c r="P7" s="12"/>
      <c r="R7" s="1" t="s">
        <v>5</v>
      </c>
      <c r="S7" s="12"/>
      <c r="U7" s="1" t="s">
        <v>5</v>
      </c>
      <c r="V7" s="12"/>
      <c r="X7" s="1" t="s">
        <v>5</v>
      </c>
      <c r="Y7" s="12"/>
      <c r="AA7" s="1" t="s">
        <v>5</v>
      </c>
    </row>
    <row r="8" spans="1:28" x14ac:dyDescent="0.2">
      <c r="A8" t="s">
        <v>1</v>
      </c>
      <c r="B8" s="2">
        <v>880.20399999999995</v>
      </c>
      <c r="C8" s="2">
        <v>880.20399999999995</v>
      </c>
      <c r="D8" s="12"/>
      <c r="E8" t="s">
        <v>1</v>
      </c>
      <c r="F8" s="2">
        <v>1583.1782849236645</v>
      </c>
      <c r="G8" s="2">
        <f>((B8+B14)*(H22+H24)+(F8*H26))*1.4</f>
        <v>3104.4328628135622</v>
      </c>
      <c r="H8" s="12"/>
      <c r="I8" t="s">
        <v>1</v>
      </c>
      <c r="J8" s="2">
        <f>B8+B14-F8</f>
        <v>175.90869832485146</v>
      </c>
      <c r="K8" s="1">
        <v>0</v>
      </c>
      <c r="L8" s="12"/>
      <c r="M8" t="s">
        <v>15</v>
      </c>
      <c r="N8" s="2">
        <v>865.49837901956118</v>
      </c>
      <c r="O8" s="2">
        <v>9952.2871786751148</v>
      </c>
      <c r="P8" s="12"/>
      <c r="Q8" t="s">
        <v>18</v>
      </c>
      <c r="R8" s="2">
        <v>13443.246198979001</v>
      </c>
      <c r="S8" s="12"/>
      <c r="T8" t="s">
        <v>18</v>
      </c>
      <c r="U8" s="2">
        <v>6135.2538286758299</v>
      </c>
      <c r="V8" s="12"/>
      <c r="W8" t="s">
        <v>18</v>
      </c>
      <c r="X8" s="2">
        <v>1212.9755758131398</v>
      </c>
      <c r="Y8" s="12"/>
      <c r="Z8" t="s">
        <v>18</v>
      </c>
      <c r="AA8" s="2">
        <v>78980.809225000005</v>
      </c>
    </row>
    <row r="9" spans="1:28" x14ac:dyDescent="0.2">
      <c r="A9" t="s">
        <v>2</v>
      </c>
      <c r="B9" s="2">
        <v>1186.7625</v>
      </c>
      <c r="C9" s="2">
        <v>712.05749999999989</v>
      </c>
      <c r="D9" s="12"/>
      <c r="E9" t="s">
        <v>2</v>
      </c>
      <c r="F9" s="2">
        <v>1878.8152311545803</v>
      </c>
      <c r="G9" s="2">
        <f>((B9+B15)*(H21+H23)+F9*H25)*1.4</f>
        <v>6851.7029105155825</v>
      </c>
      <c r="H9" s="12"/>
      <c r="I9" t="s">
        <v>2</v>
      </c>
      <c r="J9" s="2">
        <f>B9+B15-F9</f>
        <v>626.27174371819342</v>
      </c>
      <c r="K9" s="1">
        <v>0</v>
      </c>
      <c r="L9" s="12"/>
      <c r="N9" s="1"/>
      <c r="O9" s="1"/>
      <c r="P9" s="12"/>
      <c r="S9" s="12"/>
      <c r="V9" s="12"/>
      <c r="Y9" s="12"/>
    </row>
    <row r="10" spans="1:28" x14ac:dyDescent="0.2">
      <c r="A10" t="s">
        <v>16</v>
      </c>
      <c r="B10" s="2">
        <f>SUM(B8:B9)</f>
        <v>2066.9665</v>
      </c>
      <c r="C10" s="2">
        <f>SUM(C8:C9)</f>
        <v>1592.2614999999998</v>
      </c>
      <c r="D10" s="12"/>
      <c r="E10" t="s">
        <v>16</v>
      </c>
      <c r="F10" s="2">
        <f>SUM(F8:F9)</f>
        <v>3461.9935160782447</v>
      </c>
      <c r="G10" s="2">
        <f>SUM(G8:G9)</f>
        <v>9956.1357733291443</v>
      </c>
      <c r="H10" s="12"/>
      <c r="I10" t="s">
        <v>16</v>
      </c>
      <c r="J10" s="2">
        <f>SUM(J8:J9)</f>
        <v>802.18044204304488</v>
      </c>
      <c r="K10" s="1">
        <v>0</v>
      </c>
      <c r="L10" s="12"/>
      <c r="O10" s="8">
        <f>O8/AA10</f>
        <v>2.4671700817220432</v>
      </c>
      <c r="P10" s="12" t="s">
        <v>27</v>
      </c>
      <c r="R10" s="8">
        <f>R8/AA10</f>
        <v>3.3325781529306564</v>
      </c>
      <c r="S10" s="12" t="s">
        <v>27</v>
      </c>
      <c r="U10" s="8">
        <f>U8/AA10</f>
        <v>1.5209282467565091</v>
      </c>
      <c r="V10" s="12" t="s">
        <v>27</v>
      </c>
      <c r="X10" s="8">
        <f>X8/AA10</f>
        <v>0.3006964124706995</v>
      </c>
      <c r="Y10" s="12" t="s">
        <v>27</v>
      </c>
      <c r="Z10" t="s">
        <v>25</v>
      </c>
      <c r="AA10" s="6">
        <v>4033.8877535871325</v>
      </c>
    </row>
    <row r="11" spans="1:28" x14ac:dyDescent="0.2">
      <c r="D11" s="12"/>
      <c r="H11" s="12"/>
      <c r="J11" s="3"/>
      <c r="L11" s="12"/>
      <c r="P11" s="12"/>
      <c r="S11" s="12"/>
      <c r="V11" s="12"/>
      <c r="Y11" s="12"/>
    </row>
    <row r="12" spans="1:28" x14ac:dyDescent="0.2">
      <c r="A12" s="10" t="s">
        <v>6</v>
      </c>
      <c r="D12" s="12"/>
      <c r="G12" s="8">
        <f>G10/AA10</f>
        <v>2.4681241475982212</v>
      </c>
      <c r="H12" s="12" t="s">
        <v>27</v>
      </c>
      <c r="L12" s="12"/>
      <c r="P12" s="12"/>
      <c r="S12" s="12"/>
      <c r="V12" s="12"/>
      <c r="Y12" s="12"/>
      <c r="AA12" s="8">
        <f>AA8/AA10</f>
        <v>19.579327450241113</v>
      </c>
      <c r="AB12" t="s">
        <v>27</v>
      </c>
    </row>
    <row r="13" spans="1:28" x14ac:dyDescent="0.2">
      <c r="B13" s="1" t="s">
        <v>3</v>
      </c>
      <c r="C13" s="1" t="s">
        <v>5</v>
      </c>
      <c r="D13" s="12"/>
      <c r="H13" s="12"/>
      <c r="L13" s="12"/>
      <c r="P13" s="12"/>
      <c r="S13" s="12"/>
      <c r="V13" s="12"/>
      <c r="Y13" s="12"/>
    </row>
    <row r="14" spans="1:28" x14ac:dyDescent="0.2">
      <c r="A14" t="s">
        <v>1</v>
      </c>
      <c r="B14" s="2">
        <v>878.88298324851587</v>
      </c>
      <c r="C14" s="2">
        <v>10986.037290606448</v>
      </c>
      <c r="D14" s="12"/>
      <c r="H14" s="12"/>
      <c r="L14" s="12"/>
      <c r="P14" s="12"/>
      <c r="S14" s="12"/>
      <c r="V14" s="12"/>
      <c r="Y14" s="12"/>
    </row>
    <row r="15" spans="1:28" x14ac:dyDescent="0.2">
      <c r="A15" t="s">
        <v>2</v>
      </c>
      <c r="B15" s="2">
        <v>1318.3244748727736</v>
      </c>
      <c r="C15" s="2">
        <v>9887.4335615458021</v>
      </c>
      <c r="D15" s="12"/>
      <c r="H15" s="12"/>
      <c r="L15" s="12"/>
      <c r="P15" s="12"/>
      <c r="S15" s="12"/>
      <c r="V15" s="12"/>
      <c r="Y15" s="12"/>
    </row>
    <row r="16" spans="1:28" x14ac:dyDescent="0.2">
      <c r="A16" t="s">
        <v>16</v>
      </c>
      <c r="B16" s="2">
        <f>SUM(B14:B15)</f>
        <v>2197.2074581212896</v>
      </c>
      <c r="C16" s="2">
        <f>SUM(C14:C15)</f>
        <v>20873.470852152248</v>
      </c>
      <c r="D16" s="12"/>
      <c r="H16" s="12"/>
      <c r="L16" s="12"/>
      <c r="P16" s="12"/>
      <c r="S16" s="12"/>
      <c r="V16" s="12"/>
      <c r="Y16" s="12"/>
    </row>
    <row r="17" spans="2:29" x14ac:dyDescent="0.2">
      <c r="D17" s="12"/>
      <c r="H17" s="12"/>
      <c r="L17" s="12"/>
      <c r="P17" s="12"/>
      <c r="S17" s="12"/>
      <c r="V17" s="12"/>
      <c r="Y17" s="12"/>
    </row>
    <row r="18" spans="2:29" x14ac:dyDescent="0.2">
      <c r="B18" s="2">
        <f>B10+B16</f>
        <v>4264.1739581212896</v>
      </c>
      <c r="C18" s="2">
        <f>C10+C16</f>
        <v>22465.732352152248</v>
      </c>
      <c r="D18" s="12"/>
      <c r="H18" s="12"/>
      <c r="L18" s="12"/>
      <c r="P18" s="12"/>
      <c r="S18" s="12"/>
      <c r="V18" s="12"/>
      <c r="Y18" s="12"/>
    </row>
    <row r="19" spans="2:29" x14ac:dyDescent="0.2">
      <c r="D19" s="12"/>
      <c r="H19" s="12"/>
      <c r="L19" s="12"/>
      <c r="P19" s="12"/>
      <c r="S19" s="12"/>
      <c r="V19" s="12"/>
      <c r="Y19" s="12"/>
    </row>
    <row r="20" spans="2:29" x14ac:dyDescent="0.2">
      <c r="C20" s="8">
        <f>C18/AA10</f>
        <v>5.5692507388621832</v>
      </c>
      <c r="D20" s="12" t="s">
        <v>27</v>
      </c>
      <c r="H20" s="12"/>
      <c r="L20" s="12"/>
      <c r="P20" s="12"/>
      <c r="S20" s="12"/>
      <c r="V20" s="12"/>
      <c r="Y20" s="12"/>
    </row>
    <row r="21" spans="2:29" x14ac:dyDescent="0.2">
      <c r="E21" s="85" t="s">
        <v>8</v>
      </c>
      <c r="F21" s="85"/>
      <c r="G21" s="85"/>
      <c r="H21" s="4">
        <v>1.7004146449723441</v>
      </c>
    </row>
    <row r="22" spans="2:29" x14ac:dyDescent="0.2">
      <c r="E22" s="85" t="s">
        <v>9</v>
      </c>
      <c r="F22" s="85"/>
      <c r="G22" s="85"/>
      <c r="H22" s="4">
        <v>1.1255088099999999</v>
      </c>
    </row>
    <row r="23" spans="2:29" x14ac:dyDescent="0.2">
      <c r="E23" s="85" t="s">
        <v>10</v>
      </c>
      <c r="F23" s="85"/>
      <c r="G23" s="85"/>
      <c r="H23" s="5">
        <v>0.11255088099999999</v>
      </c>
    </row>
    <row r="24" spans="2:29" x14ac:dyDescent="0.2">
      <c r="E24" s="85" t="s">
        <v>11</v>
      </c>
      <c r="F24" s="85"/>
      <c r="G24" s="85"/>
      <c r="H24" s="5">
        <v>8.4413160749999994E-2</v>
      </c>
    </row>
    <row r="25" spans="2:29" x14ac:dyDescent="0.2">
      <c r="E25" s="85" t="s">
        <v>12</v>
      </c>
      <c r="F25" s="85"/>
      <c r="G25" s="85"/>
      <c r="H25" s="5">
        <v>0.18758480166666663</v>
      </c>
    </row>
    <row r="26" spans="2:29" x14ac:dyDescent="0.2">
      <c r="E26" s="85" t="s">
        <v>13</v>
      </c>
      <c r="F26" s="85"/>
      <c r="G26" s="85"/>
      <c r="H26" s="5">
        <v>5.6275440499999996E-2</v>
      </c>
    </row>
    <row r="27" spans="2:29" x14ac:dyDescent="0.2">
      <c r="AB27" t="s">
        <v>70</v>
      </c>
    </row>
    <row r="28" spans="2:29" x14ac:dyDescent="0.2">
      <c r="AB28" s="3">
        <f>B18</f>
        <v>4264.1739581212896</v>
      </c>
      <c r="AC28">
        <f>AB28*0.2</f>
        <v>852.83479162425795</v>
      </c>
    </row>
    <row r="29" spans="2:29" x14ac:dyDescent="0.2">
      <c r="K29" t="s">
        <v>42</v>
      </c>
      <c r="M29" s="3">
        <f>C18+G10+K10+O8+R8+U8</f>
        <v>61952.655331811337</v>
      </c>
      <c r="N29" t="s">
        <v>5</v>
      </c>
    </row>
    <row r="30" spans="2:29" x14ac:dyDescent="0.2">
      <c r="K30" t="s">
        <v>22</v>
      </c>
      <c r="M30" s="3">
        <f>X8+AA8</f>
        <v>80193.78480081314</v>
      </c>
      <c r="N30" t="s">
        <v>5</v>
      </c>
    </row>
    <row r="31" spans="2:29" x14ac:dyDescent="0.2">
      <c r="K31" t="s">
        <v>23</v>
      </c>
      <c r="M31" s="3">
        <f>M30-M29</f>
        <v>18241.129469001804</v>
      </c>
      <c r="N31" t="s">
        <v>5</v>
      </c>
      <c r="Q31" s="11">
        <f>M31/4034</f>
        <v>4.5218466705507696</v>
      </c>
      <c r="R31" t="s">
        <v>4</v>
      </c>
      <c r="T31" s="3">
        <f>Q31*AA10</f>
        <v>18240.621907933499</v>
      </c>
      <c r="U31" t="s">
        <v>5</v>
      </c>
    </row>
    <row r="32" spans="2:29" x14ac:dyDescent="0.2">
      <c r="Q32">
        <f>Q31/1.4</f>
        <v>3.2298904789648355</v>
      </c>
      <c r="T32" s="3">
        <f>T31/1.4</f>
        <v>13029.015648523928</v>
      </c>
      <c r="U32" s="7" t="s">
        <v>26</v>
      </c>
    </row>
    <row r="33" spans="15:17" x14ac:dyDescent="0.2">
      <c r="Q33">
        <f>1.5*1.4</f>
        <v>2.0999999999999996</v>
      </c>
    </row>
    <row r="34" spans="15:17" x14ac:dyDescent="0.2">
      <c r="O34">
        <v>6039</v>
      </c>
      <c r="P34">
        <f>O34/4034</f>
        <v>1.4970252850768468</v>
      </c>
      <c r="Q34">
        <f>P34*1.4</f>
        <v>2.0958353991075853</v>
      </c>
    </row>
  </sheetData>
  <mergeCells count="6">
    <mergeCell ref="E25:G25"/>
    <mergeCell ref="E26:G26"/>
    <mergeCell ref="E21:G21"/>
    <mergeCell ref="E22:G22"/>
    <mergeCell ref="E23:G23"/>
    <mergeCell ref="E24:G24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24"/>
  <sheetViews>
    <sheetView workbookViewId="0">
      <selection activeCell="E31" sqref="E31"/>
    </sheetView>
  </sheetViews>
  <sheetFormatPr baseColWidth="10" defaultRowHeight="12.75" x14ac:dyDescent="0.2"/>
  <cols>
    <col min="8" max="8" width="13.7109375" customWidth="1"/>
    <col min="9" max="9" width="8.85546875" customWidth="1"/>
    <col min="11" max="11" width="14.85546875" customWidth="1"/>
    <col min="14" max="14" width="21.28515625" customWidth="1"/>
    <col min="15" max="15" width="9" customWidth="1"/>
    <col min="16" max="16" width="5.7109375" customWidth="1"/>
    <col min="17" max="17" width="5.5703125" customWidth="1"/>
  </cols>
  <sheetData>
    <row r="2" spans="1:17" s="50" customFormat="1" ht="23.25" x14ac:dyDescent="0.35">
      <c r="A2" s="50" t="s">
        <v>61</v>
      </c>
      <c r="H2" s="50" t="s">
        <v>69</v>
      </c>
      <c r="K2" s="50" t="s">
        <v>83</v>
      </c>
      <c r="N2" s="50" t="s">
        <v>86</v>
      </c>
    </row>
    <row r="4" spans="1:17" x14ac:dyDescent="0.2">
      <c r="A4" s="85" t="s">
        <v>8</v>
      </c>
      <c r="B4" s="85"/>
      <c r="C4" s="85"/>
      <c r="D4" s="85"/>
      <c r="E4" s="4">
        <v>1.7004146449723441</v>
      </c>
      <c r="H4" s="68">
        <v>1</v>
      </c>
      <c r="I4" s="72">
        <v>1.4</v>
      </c>
      <c r="K4" s="67" t="s">
        <v>84</v>
      </c>
      <c r="L4" s="69">
        <v>10</v>
      </c>
      <c r="N4" s="67" t="s">
        <v>91</v>
      </c>
      <c r="O4" s="72">
        <f>15.05*1.4</f>
        <v>21.07</v>
      </c>
    </row>
    <row r="5" spans="1:17" x14ac:dyDescent="0.2">
      <c r="A5" s="85" t="s">
        <v>62</v>
      </c>
      <c r="B5" s="85"/>
      <c r="C5" s="85"/>
      <c r="D5" s="85"/>
      <c r="E5" s="4">
        <v>1.1255088099999999</v>
      </c>
      <c r="N5" s="13" t="s">
        <v>92</v>
      </c>
    </row>
    <row r="6" spans="1:17" ht="25.5" x14ac:dyDescent="0.2">
      <c r="A6" s="73"/>
      <c r="B6" s="73"/>
      <c r="C6" s="73"/>
      <c r="D6" s="73"/>
      <c r="E6" s="74"/>
      <c r="K6" s="77" t="s">
        <v>90</v>
      </c>
      <c r="L6" s="65">
        <v>0.99</v>
      </c>
      <c r="N6" s="67" t="s">
        <v>96</v>
      </c>
      <c r="O6" s="72">
        <f>43*1.4</f>
        <v>60.199999999999996</v>
      </c>
    </row>
    <row r="7" spans="1:17" x14ac:dyDescent="0.2">
      <c r="A7" s="85" t="s">
        <v>10</v>
      </c>
      <c r="B7" s="85"/>
      <c r="C7" s="85"/>
      <c r="D7" s="85"/>
      <c r="E7" s="4">
        <v>0.11255088099999999</v>
      </c>
      <c r="O7" s="72">
        <f>(O4*1000+O6*O10)/Q11</f>
        <v>24.08</v>
      </c>
    </row>
    <row r="8" spans="1:17" x14ac:dyDescent="0.2">
      <c r="A8" s="85" t="s">
        <v>63</v>
      </c>
      <c r="B8" s="85"/>
      <c r="C8" s="85"/>
      <c r="D8" s="85"/>
      <c r="E8" s="5">
        <v>8.4413160749999994E-2</v>
      </c>
      <c r="O8" s="13" t="s">
        <v>94</v>
      </c>
      <c r="P8" s="13" t="s">
        <v>95</v>
      </c>
    </row>
    <row r="9" spans="1:17" x14ac:dyDescent="0.2">
      <c r="A9" s="85" t="s">
        <v>12</v>
      </c>
      <c r="B9" s="85"/>
      <c r="C9" s="85"/>
      <c r="D9" s="85"/>
      <c r="E9" s="5">
        <v>0.18758480166666663</v>
      </c>
      <c r="N9" s="13" t="s">
        <v>93</v>
      </c>
      <c r="O9">
        <v>350</v>
      </c>
      <c r="P9">
        <v>650</v>
      </c>
      <c r="Q9">
        <f>O9+P9</f>
        <v>1000</v>
      </c>
    </row>
    <row r="10" spans="1:17" x14ac:dyDescent="0.2">
      <c r="A10" s="85" t="s">
        <v>64</v>
      </c>
      <c r="B10" s="85"/>
      <c r="C10" s="85"/>
      <c r="D10" s="85"/>
      <c r="E10" s="5">
        <v>5.6275440499999996E-2</v>
      </c>
      <c r="N10" s="78" t="s">
        <v>94</v>
      </c>
      <c r="O10">
        <f>O11-O9</f>
        <v>83.333333333333314</v>
      </c>
      <c r="Q10">
        <f>O10+P10</f>
        <v>83.333333333333314</v>
      </c>
    </row>
    <row r="11" spans="1:17" x14ac:dyDescent="0.2">
      <c r="O11">
        <f>P11/6*4</f>
        <v>433.33333333333331</v>
      </c>
      <c r="P11">
        <f>P9+P10</f>
        <v>650</v>
      </c>
      <c r="Q11">
        <f>O11+P11</f>
        <v>1083.3333333333333</v>
      </c>
    </row>
    <row r="12" spans="1:17" x14ac:dyDescent="0.2">
      <c r="A12" s="51" t="s">
        <v>66</v>
      </c>
      <c r="B12" s="52"/>
      <c r="C12" s="52"/>
      <c r="D12" s="53"/>
      <c r="E12" s="5">
        <v>0.9</v>
      </c>
    </row>
    <row r="13" spans="1:17" x14ac:dyDescent="0.2">
      <c r="A13" s="51" t="s">
        <v>65</v>
      </c>
      <c r="B13" s="52"/>
      <c r="C13" s="52"/>
      <c r="D13" s="53"/>
      <c r="E13" s="5">
        <v>0.75</v>
      </c>
    </row>
    <row r="15" spans="1:17" x14ac:dyDescent="0.2">
      <c r="A15" s="51" t="s">
        <v>80</v>
      </c>
      <c r="B15" s="52"/>
      <c r="C15" s="52"/>
      <c r="D15" s="53"/>
      <c r="E15" s="65">
        <v>0.8</v>
      </c>
    </row>
    <row r="18" spans="1:9" ht="23.25" x14ac:dyDescent="0.35">
      <c r="A18" s="50" t="s">
        <v>75</v>
      </c>
      <c r="H18" s="50" t="s">
        <v>97</v>
      </c>
    </row>
    <row r="19" spans="1:9" x14ac:dyDescent="0.2">
      <c r="A19" s="55" t="s">
        <v>71</v>
      </c>
      <c r="B19" s="56"/>
      <c r="C19" s="57">
        <v>25</v>
      </c>
      <c r="H19" s="67" t="s">
        <v>98</v>
      </c>
      <c r="I19" s="79">
        <f>9207.3171/4033.89</f>
        <v>2.2824908710946508</v>
      </c>
    </row>
    <row r="20" spans="1:9" x14ac:dyDescent="0.2">
      <c r="A20" s="54" t="s">
        <v>72</v>
      </c>
      <c r="B20" s="53"/>
      <c r="C20" s="57">
        <v>12.5</v>
      </c>
      <c r="H20" s="67" t="s">
        <v>99</v>
      </c>
      <c r="I20" s="79">
        <f>4576.98736/4033.89</f>
        <v>1.1346336563466035</v>
      </c>
    </row>
    <row r="21" spans="1:9" x14ac:dyDescent="0.2">
      <c r="A21" s="54" t="s">
        <v>73</v>
      </c>
      <c r="B21" s="53"/>
      <c r="C21" s="57">
        <v>7.5</v>
      </c>
      <c r="H21" s="80" t="s">
        <v>110</v>
      </c>
      <c r="I21" s="81">
        <v>2.1041089736326474E-2</v>
      </c>
    </row>
    <row r="22" spans="1:9" x14ac:dyDescent="0.2">
      <c r="A22" s="54" t="s">
        <v>74</v>
      </c>
      <c r="B22" s="53"/>
      <c r="C22" s="57">
        <v>3.75</v>
      </c>
      <c r="H22" s="80" t="s">
        <v>111</v>
      </c>
      <c r="I22" s="81">
        <v>1.0533156511823433E-2</v>
      </c>
    </row>
    <row r="23" spans="1:9" x14ac:dyDescent="0.2">
      <c r="H23" s="80" t="s">
        <v>116</v>
      </c>
      <c r="I23" s="81">
        <v>1.9732138571523523E-2</v>
      </c>
    </row>
    <row r="24" spans="1:9" x14ac:dyDescent="0.2">
      <c r="H24" s="80" t="s">
        <v>118</v>
      </c>
      <c r="I24" s="81">
        <v>1.3371609048756896E-2</v>
      </c>
    </row>
  </sheetData>
  <mergeCells count="6">
    <mergeCell ref="A10:D10"/>
    <mergeCell ref="A4:D4"/>
    <mergeCell ref="A5:D5"/>
    <mergeCell ref="A7:D7"/>
    <mergeCell ref="A8:D8"/>
    <mergeCell ref="A9:D9"/>
  </mergeCells>
  <phoneticPr fontId="1" type="noConversion"/>
  <pageMargins left="0.78740157499999996" right="0.78740157499999996" top="0.984251969" bottom="0.984251969" header="0.4921259845" footer="0.4921259845"/>
  <pageSetup orientation="portrait" horizontalDpi="1200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3" workbookViewId="0">
      <selection activeCell="B4" sqref="B4"/>
    </sheetView>
  </sheetViews>
  <sheetFormatPr baseColWidth="10" defaultRowHeight="12.75" x14ac:dyDescent="0.2"/>
  <cols>
    <col min="3" max="3" width="14.5703125" customWidth="1"/>
    <col min="4" max="4" width="12.28515625" customWidth="1"/>
    <col min="11" max="11" width="20.85546875" customWidth="1"/>
  </cols>
  <sheetData>
    <row r="1" spans="1:12" x14ac:dyDescent="0.2">
      <c r="A1" s="10" t="s">
        <v>88</v>
      </c>
    </row>
    <row r="2" spans="1:12" s="59" customFormat="1" ht="31.5" x14ac:dyDescent="0.25">
      <c r="B2" s="60" t="s">
        <v>76</v>
      </c>
      <c r="C2" s="61" t="s">
        <v>78</v>
      </c>
      <c r="D2" s="61" t="s">
        <v>77</v>
      </c>
      <c r="K2" s="59" t="s">
        <v>119</v>
      </c>
    </row>
    <row r="3" spans="1:12" x14ac:dyDescent="0.2">
      <c r="A3" t="s">
        <v>1</v>
      </c>
      <c r="B3" s="2">
        <v>0</v>
      </c>
      <c r="C3">
        <v>1</v>
      </c>
      <c r="D3" s="62">
        <f>B3*C3</f>
        <v>0</v>
      </c>
      <c r="G3" s="2">
        <v>880.20399999999995</v>
      </c>
    </row>
    <row r="4" spans="1:12" x14ac:dyDescent="0.2">
      <c r="A4" t="s">
        <v>2</v>
      </c>
      <c r="B4" s="2">
        <v>1500</v>
      </c>
      <c r="C4">
        <v>0.6</v>
      </c>
      <c r="D4" s="62">
        <f>B4*C4</f>
        <v>900</v>
      </c>
      <c r="G4" s="2">
        <v>1186.7625</v>
      </c>
      <c r="K4" s="13" t="s">
        <v>120</v>
      </c>
      <c r="L4">
        <f>'Calcul Devis'!AE29</f>
        <v>15.904384034479776</v>
      </c>
    </row>
    <row r="5" spans="1:12" x14ac:dyDescent="0.2">
      <c r="A5" t="s">
        <v>16</v>
      </c>
      <c r="B5" s="58">
        <f>SUM(B3:B4)</f>
        <v>1500</v>
      </c>
      <c r="D5" s="62">
        <f>SUM(D3:D4)</f>
        <v>900</v>
      </c>
      <c r="G5" s="58">
        <v>2066.9665</v>
      </c>
      <c r="K5" s="13" t="s">
        <v>121</v>
      </c>
      <c r="L5">
        <f>'Calcul Devis'!AE28</f>
        <v>16.165875675776832</v>
      </c>
    </row>
    <row r="6" spans="1:12" x14ac:dyDescent="0.2">
      <c r="D6" s="63"/>
    </row>
    <row r="7" spans="1:12" x14ac:dyDescent="0.2">
      <c r="A7" s="10" t="s">
        <v>59</v>
      </c>
      <c r="D7" s="63"/>
    </row>
    <row r="8" spans="1:12" x14ac:dyDescent="0.2">
      <c r="B8" s="1" t="s">
        <v>3</v>
      </c>
      <c r="D8" s="63"/>
      <c r="G8" s="1" t="s">
        <v>3</v>
      </c>
    </row>
    <row r="9" spans="1:12" x14ac:dyDescent="0.2">
      <c r="A9" t="s">
        <v>1</v>
      </c>
      <c r="B9" s="2">
        <v>0</v>
      </c>
      <c r="C9">
        <v>1</v>
      </c>
      <c r="D9" s="62">
        <f>B9*C9</f>
        <v>0</v>
      </c>
      <c r="G9" s="2">
        <v>0</v>
      </c>
    </row>
    <row r="10" spans="1:12" x14ac:dyDescent="0.2">
      <c r="A10" t="s">
        <v>2</v>
      </c>
      <c r="B10" s="2">
        <v>0</v>
      </c>
      <c r="C10">
        <v>0.6</v>
      </c>
      <c r="D10" s="62">
        <f>B10*C10</f>
        <v>0</v>
      </c>
      <c r="G10" s="2">
        <v>0</v>
      </c>
    </row>
    <row r="11" spans="1:12" x14ac:dyDescent="0.2">
      <c r="A11" t="s">
        <v>16</v>
      </c>
      <c r="B11" s="58">
        <f>SUM(B9:B10)</f>
        <v>0</v>
      </c>
      <c r="D11" s="62">
        <f>SUM(D9:D10)</f>
        <v>0</v>
      </c>
      <c r="G11" s="58">
        <v>0</v>
      </c>
    </row>
    <row r="12" spans="1:12" x14ac:dyDescent="0.2">
      <c r="D12" s="63"/>
    </row>
    <row r="13" spans="1:12" x14ac:dyDescent="0.2">
      <c r="A13" s="10" t="s">
        <v>60</v>
      </c>
      <c r="D13" s="63"/>
    </row>
    <row r="14" spans="1:12" x14ac:dyDescent="0.2">
      <c r="B14" s="1" t="s">
        <v>3</v>
      </c>
      <c r="D14" s="63"/>
      <c r="G14" s="1" t="s">
        <v>3</v>
      </c>
    </row>
    <row r="15" spans="1:12" x14ac:dyDescent="0.2">
      <c r="A15" t="s">
        <v>1</v>
      </c>
      <c r="B15" s="2">
        <v>0</v>
      </c>
      <c r="C15">
        <v>1</v>
      </c>
      <c r="D15" s="62">
        <f>B15*C15</f>
        <v>0</v>
      </c>
      <c r="G15" s="2">
        <v>0</v>
      </c>
    </row>
    <row r="16" spans="1:12" x14ac:dyDescent="0.2">
      <c r="A16" t="s">
        <v>2</v>
      </c>
      <c r="B16" s="2">
        <v>0</v>
      </c>
      <c r="C16">
        <v>0.6</v>
      </c>
      <c r="D16" s="62">
        <f>B16*C16</f>
        <v>0</v>
      </c>
      <c r="G16" s="2">
        <v>0</v>
      </c>
    </row>
    <row r="17" spans="1:7" x14ac:dyDescent="0.2">
      <c r="A17" t="s">
        <v>16</v>
      </c>
      <c r="B17" s="58">
        <f>SUM(B15:B16)</f>
        <v>0</v>
      </c>
      <c r="D17" s="62">
        <f>SUM(D15:D16)</f>
        <v>0</v>
      </c>
      <c r="G17" s="58">
        <v>0</v>
      </c>
    </row>
    <row r="18" spans="1:7" x14ac:dyDescent="0.2">
      <c r="B18" s="2"/>
      <c r="D18" s="63"/>
      <c r="G18" s="2"/>
    </row>
    <row r="19" spans="1:7" x14ac:dyDescent="0.2">
      <c r="A19" s="10" t="s">
        <v>6</v>
      </c>
      <c r="D19" s="63"/>
    </row>
    <row r="20" spans="1:7" x14ac:dyDescent="0.2">
      <c r="B20" s="1" t="s">
        <v>3</v>
      </c>
      <c r="D20" s="63"/>
      <c r="G20" s="1" t="s">
        <v>3</v>
      </c>
    </row>
    <row r="21" spans="1:7" x14ac:dyDescent="0.2">
      <c r="A21" t="s">
        <v>1</v>
      </c>
      <c r="B21" s="2">
        <v>0</v>
      </c>
      <c r="C21">
        <f>pxmarmassif</f>
        <v>12.5</v>
      </c>
      <c r="D21" s="62">
        <f>B21*C21</f>
        <v>0</v>
      </c>
      <c r="G21" s="2">
        <v>878.88298324851587</v>
      </c>
    </row>
    <row r="22" spans="1:7" x14ac:dyDescent="0.2">
      <c r="A22" t="s">
        <v>2</v>
      </c>
      <c r="B22" s="2">
        <v>0</v>
      </c>
      <c r="C22">
        <f>pxmarcopeau</f>
        <v>7.5</v>
      </c>
      <c r="D22" s="62">
        <f>B22*C22</f>
        <v>0</v>
      </c>
      <c r="G22" s="2">
        <v>1318.3244748727736</v>
      </c>
    </row>
    <row r="23" spans="1:7" x14ac:dyDescent="0.2">
      <c r="A23" t="s">
        <v>16</v>
      </c>
      <c r="B23" s="58">
        <f>SUM(B21:B22)</f>
        <v>0</v>
      </c>
      <c r="D23" s="62">
        <f>SUM(D21:D22)</f>
        <v>0</v>
      </c>
      <c r="G23" s="58">
        <v>2197.2074581212896</v>
      </c>
    </row>
    <row r="26" spans="1:7" x14ac:dyDescent="0.2">
      <c r="A26" s="10" t="s">
        <v>58</v>
      </c>
    </row>
    <row r="27" spans="1:7" x14ac:dyDescent="0.2">
      <c r="B27" s="1" t="s">
        <v>3</v>
      </c>
    </row>
    <row r="28" spans="1:7" x14ac:dyDescent="0.2">
      <c r="A28" t="s">
        <v>56</v>
      </c>
      <c r="B28" s="58">
        <f>B3+B9+B15+B21</f>
        <v>0</v>
      </c>
      <c r="C28" s="66">
        <f>B28/B30</f>
        <v>0</v>
      </c>
      <c r="D28" s="64">
        <f>D3+D9+D15+D21</f>
        <v>0</v>
      </c>
    </row>
    <row r="29" spans="1:7" x14ac:dyDescent="0.2">
      <c r="A29" t="s">
        <v>57</v>
      </c>
      <c r="B29" s="58">
        <f>B4+B10+B16+B22</f>
        <v>1500</v>
      </c>
      <c r="C29" s="66">
        <f>B29/B30</f>
        <v>1</v>
      </c>
      <c r="D29" s="64">
        <f>D4+D10+D16+D22</f>
        <v>900</v>
      </c>
    </row>
    <row r="30" spans="1:7" x14ac:dyDescent="0.2">
      <c r="A30" t="s">
        <v>58</v>
      </c>
      <c r="B30" s="58">
        <f>B28+B29</f>
        <v>1500</v>
      </c>
      <c r="D30" s="64">
        <f>SUM(D28:D29)</f>
        <v>900</v>
      </c>
      <c r="G30" s="58">
        <v>4264.1739581212896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8"/>
  <sheetViews>
    <sheetView tabSelected="1" topLeftCell="M3" workbookViewId="0">
      <selection activeCell="AF25" sqref="AF25"/>
    </sheetView>
  </sheetViews>
  <sheetFormatPr baseColWidth="10" defaultRowHeight="12.75" x14ac:dyDescent="0.2"/>
  <cols>
    <col min="1" max="1" width="16" customWidth="1"/>
    <col min="2" max="2" width="8.7109375" bestFit="1" customWidth="1"/>
    <col min="3" max="3" width="8.5703125" bestFit="1" customWidth="1"/>
    <col min="4" max="4" width="5.42578125" customWidth="1"/>
    <col min="5" max="5" width="8.5703125" customWidth="1"/>
    <col min="6" max="6" width="10.28515625" customWidth="1"/>
    <col min="7" max="7" width="11.7109375" customWidth="1"/>
    <col min="8" max="8" width="10.5703125" customWidth="1"/>
    <col min="9" max="9" width="7.42578125" customWidth="1"/>
    <col min="10" max="10" width="8.85546875" customWidth="1"/>
    <col min="11" max="11" width="8.5703125" customWidth="1"/>
    <col min="12" max="12" width="9.7109375" customWidth="1"/>
    <col min="13" max="13" width="4.28515625" customWidth="1"/>
    <col min="14" max="14" width="16.85546875" customWidth="1"/>
    <col min="15" max="15" width="7.5703125" bestFit="1" customWidth="1"/>
    <col min="16" max="16" width="8.5703125" customWidth="1"/>
    <col min="17" max="17" width="4.140625" customWidth="1"/>
    <col min="18" max="18" width="8.28515625" customWidth="1"/>
    <col min="19" max="19" width="8.5703125" bestFit="1" customWidth="1"/>
    <col min="20" max="20" width="4.7109375" customWidth="1"/>
    <col min="21" max="21" width="8.5703125" customWidth="1"/>
    <col min="22" max="22" width="7.5703125" bestFit="1" customWidth="1"/>
    <col min="23" max="23" width="4.140625" customWidth="1"/>
    <col min="24" max="24" width="13.140625" customWidth="1"/>
    <col min="25" max="26" width="7.7109375" customWidth="1"/>
    <col min="27" max="27" width="7.5703125" bestFit="1" customWidth="1"/>
    <col min="28" max="28" width="4.42578125" customWidth="1"/>
    <col min="29" max="29" width="26" customWidth="1"/>
    <col min="30" max="30" width="9.5703125" bestFit="1" customWidth="1"/>
  </cols>
  <sheetData>
    <row r="1" spans="1:31" ht="26.25" x14ac:dyDescent="0.4">
      <c r="A1" s="9" t="s">
        <v>24</v>
      </c>
    </row>
    <row r="2" spans="1:31" x14ac:dyDescent="0.2">
      <c r="S2">
        <f>S8/1.4</f>
        <v>2991.9830643963355</v>
      </c>
    </row>
    <row r="3" spans="1:31" x14ac:dyDescent="0.2">
      <c r="P3" s="2"/>
    </row>
    <row r="6" spans="1:31" x14ac:dyDescent="0.2">
      <c r="A6" s="10" t="s">
        <v>58</v>
      </c>
      <c r="D6" s="12"/>
      <c r="E6" s="10" t="s">
        <v>7</v>
      </c>
      <c r="F6" s="10"/>
      <c r="I6" s="12"/>
      <c r="J6" s="10" t="s">
        <v>14</v>
      </c>
      <c r="M6" s="12"/>
      <c r="N6" s="10" t="s">
        <v>28</v>
      </c>
      <c r="Q6" s="12"/>
      <c r="R6" s="10" t="s">
        <v>17</v>
      </c>
      <c r="T6" s="12"/>
      <c r="U6" s="10" t="s">
        <v>19</v>
      </c>
      <c r="W6" s="12"/>
      <c r="X6" s="10" t="s">
        <v>20</v>
      </c>
      <c r="Y6" s="10"/>
      <c r="Z6" s="10"/>
      <c r="AB6" s="12"/>
      <c r="AC6" s="10" t="s">
        <v>21</v>
      </c>
    </row>
    <row r="7" spans="1:31" x14ac:dyDescent="0.2">
      <c r="B7" s="1" t="s">
        <v>3</v>
      </c>
      <c r="C7" s="1" t="s">
        <v>5</v>
      </c>
      <c r="D7" s="12"/>
      <c r="F7" s="1" t="s">
        <v>55</v>
      </c>
      <c r="G7" s="1" t="s">
        <v>3</v>
      </c>
      <c r="H7" s="1" t="s">
        <v>5</v>
      </c>
      <c r="I7" s="12"/>
      <c r="K7" s="1" t="s">
        <v>3</v>
      </c>
      <c r="L7" s="1" t="s">
        <v>5</v>
      </c>
      <c r="M7" s="12"/>
      <c r="O7" s="1" t="s">
        <v>3</v>
      </c>
      <c r="P7" s="1" t="s">
        <v>5</v>
      </c>
      <c r="Q7" s="12"/>
      <c r="S7" s="1" t="s">
        <v>5</v>
      </c>
      <c r="T7" s="12"/>
      <c r="V7" s="1" t="s">
        <v>5</v>
      </c>
      <c r="W7" s="12"/>
      <c r="Y7" t="s">
        <v>113</v>
      </c>
      <c r="Z7" s="13" t="s">
        <v>112</v>
      </c>
      <c r="AA7" s="1" t="s">
        <v>5</v>
      </c>
      <c r="AB7" s="12"/>
      <c r="AD7" s="1" t="s">
        <v>5</v>
      </c>
    </row>
    <row r="8" spans="1:31" x14ac:dyDescent="0.2">
      <c r="A8" t="s">
        <v>56</v>
      </c>
      <c r="B8" s="48">
        <f>Matières!B28</f>
        <v>0</v>
      </c>
      <c r="C8" s="48">
        <f>Matières!D28</f>
        <v>0</v>
      </c>
      <c r="D8" s="12"/>
      <c r="E8" s="13" t="s">
        <v>67</v>
      </c>
      <c r="F8" s="3">
        <f>Rdtmassifs</f>
        <v>0.9</v>
      </c>
      <c r="G8" s="2">
        <f>F8*B8</f>
        <v>0</v>
      </c>
      <c r="H8" s="2">
        <f>((G8/F8)*(I29+I31)+(G8*I33))*parite</f>
        <v>0</v>
      </c>
      <c r="I8" s="12"/>
      <c r="J8" t="s">
        <v>1</v>
      </c>
      <c r="K8" s="2">
        <f>tmassifs-G8</f>
        <v>0</v>
      </c>
      <c r="L8" s="1"/>
      <c r="M8" s="12"/>
      <c r="N8" s="13" t="s">
        <v>81</v>
      </c>
      <c r="O8" s="2">
        <f>O12*0.9/O14</f>
        <v>255.68181818181819</v>
      </c>
      <c r="P8">
        <f>O8*pxeponge</f>
        <v>2556.818181818182</v>
      </c>
      <c r="Q8" s="12"/>
      <c r="R8" t="s">
        <v>18</v>
      </c>
      <c r="S8" s="2">
        <f>cdfusion*AD10*parite</f>
        <v>4188.7762901548695</v>
      </c>
      <c r="T8" s="12"/>
      <c r="U8" t="s">
        <v>18</v>
      </c>
      <c r="V8" s="2">
        <f>fgxfusion*AD10*parite</f>
        <v>2082.254355495862</v>
      </c>
      <c r="W8" s="12"/>
      <c r="X8" s="13" t="s">
        <v>108</v>
      </c>
      <c r="Z8" s="3">
        <f>G10+O12</f>
        <v>1406.25</v>
      </c>
      <c r="AB8" s="12"/>
      <c r="AC8" t="s">
        <v>18</v>
      </c>
      <c r="AD8" s="2">
        <f>AD10*25</f>
        <v>32771.029911736536</v>
      </c>
    </row>
    <row r="9" spans="1:31" x14ac:dyDescent="0.2">
      <c r="A9" t="s">
        <v>57</v>
      </c>
      <c r="B9" s="48">
        <f>Matières!B29</f>
        <v>1500</v>
      </c>
      <c r="C9" s="48">
        <f>Matières!D29</f>
        <v>900</v>
      </c>
      <c r="D9" s="12"/>
      <c r="E9" t="s">
        <v>2</v>
      </c>
      <c r="F9">
        <f>Rdtcopeaux</f>
        <v>0.75</v>
      </c>
      <c r="G9" s="2">
        <f>F9*B9</f>
        <v>1125</v>
      </c>
      <c r="H9" s="2">
        <f>((G9/F9)*(I28+I30)+G9*I32)*parite</f>
        <v>4102.6736671669223</v>
      </c>
      <c r="I9" s="12"/>
      <c r="J9" t="s">
        <v>2</v>
      </c>
      <c r="K9" s="2">
        <f>tcopeaux-G9</f>
        <v>375</v>
      </c>
      <c r="L9" s="1"/>
      <c r="M9" s="12"/>
      <c r="O9" s="1"/>
      <c r="P9" s="1"/>
      <c r="Q9" s="12"/>
      <c r="T9" s="12"/>
      <c r="W9" s="12"/>
      <c r="X9" s="13" t="s">
        <v>109</v>
      </c>
      <c r="Y9">
        <f>Z8*0.005</f>
        <v>7.03125</v>
      </c>
      <c r="Z9" s="3">
        <f>Z8-Y9</f>
        <v>1399.21875</v>
      </c>
      <c r="AB9" s="12"/>
    </row>
    <row r="10" spans="1:31" x14ac:dyDescent="0.2">
      <c r="A10" t="s">
        <v>58</v>
      </c>
      <c r="B10" s="2">
        <f>Matières!B30</f>
        <v>1500</v>
      </c>
      <c r="C10" s="2">
        <f>Matières!D30</f>
        <v>900</v>
      </c>
      <c r="D10" s="12"/>
      <c r="E10" t="s">
        <v>16</v>
      </c>
      <c r="G10" s="2">
        <f>SUM(G8:G9)</f>
        <v>1125</v>
      </c>
      <c r="H10" s="2">
        <f>SUM(H8:H9)</f>
        <v>4102.6736671669223</v>
      </c>
      <c r="I10" s="12"/>
      <c r="J10" t="s">
        <v>16</v>
      </c>
      <c r="K10" s="2">
        <f>SUM(K8:K9)</f>
        <v>375</v>
      </c>
      <c r="L10">
        <f>K10*krecup*pxmarferroti</f>
        <v>1125</v>
      </c>
      <c r="M10" s="12"/>
      <c r="N10" s="13" t="s">
        <v>82</v>
      </c>
      <c r="O10">
        <f>O12*0.1</f>
        <v>28.125</v>
      </c>
      <c r="P10">
        <f>O10*pxmasteral</f>
        <v>677.25</v>
      </c>
      <c r="Q10" s="12"/>
      <c r="T10" s="12"/>
      <c r="W10" s="12"/>
      <c r="X10" s="13" t="s">
        <v>114</v>
      </c>
      <c r="Y10">
        <f>Z9*ruplasma</f>
        <v>29.441087279500557</v>
      </c>
      <c r="Z10" s="3">
        <f>Z9-Y10</f>
        <v>1369.7776627204994</v>
      </c>
      <c r="AB10" s="12"/>
      <c r="AC10" t="s">
        <v>25</v>
      </c>
      <c r="AD10" s="3">
        <f>0.932153739711617*(G10+O12)</f>
        <v>1310.8411964694615</v>
      </c>
    </row>
    <row r="11" spans="1:31" x14ac:dyDescent="0.2">
      <c r="D11" s="12"/>
      <c r="I11" s="12"/>
      <c r="K11" s="3"/>
      <c r="M11" s="12"/>
      <c r="Q11" s="12"/>
      <c r="T11" s="12"/>
      <c r="W11" s="12"/>
      <c r="X11" s="13" t="s">
        <v>115</v>
      </c>
      <c r="Y11">
        <f>ruvar*Z10</f>
        <v>14.428082507834709</v>
      </c>
      <c r="Z11" s="3">
        <f>Z10-Y11</f>
        <v>1355.3495802126647</v>
      </c>
      <c r="AB11" s="12"/>
    </row>
    <row r="12" spans="1:31" x14ac:dyDescent="0.2">
      <c r="A12" s="10"/>
      <c r="D12" s="12"/>
      <c r="I12" s="12"/>
      <c r="J12" s="13" t="s">
        <v>79</v>
      </c>
      <c r="L12" s="66">
        <f>krecup</f>
        <v>0.8</v>
      </c>
      <c r="M12" s="12"/>
      <c r="N12" s="13" t="s">
        <v>85</v>
      </c>
      <c r="O12" s="3">
        <f>G10*0.25</f>
        <v>281.25</v>
      </c>
      <c r="P12">
        <f>P10+P8</f>
        <v>3234.068181818182</v>
      </c>
      <c r="Q12" s="12"/>
      <c r="T12" s="12"/>
      <c r="W12" s="12"/>
      <c r="X12" s="13" t="s">
        <v>53</v>
      </c>
      <c r="Y12">
        <f>Z11*pertegalette</f>
        <v>26.743945729612538</v>
      </c>
      <c r="Z12" s="3">
        <f>Z11-Y12</f>
        <v>1328.6056344830522</v>
      </c>
      <c r="AB12" s="12"/>
      <c r="AC12" s="13" t="s">
        <v>100</v>
      </c>
      <c r="AD12" s="8">
        <f>AD8/AD10</f>
        <v>25</v>
      </c>
      <c r="AE12" t="s">
        <v>27</v>
      </c>
    </row>
    <row r="13" spans="1:31" x14ac:dyDescent="0.2">
      <c r="B13" s="1"/>
      <c r="C13" s="1"/>
      <c r="D13" s="12"/>
      <c r="I13" s="12"/>
      <c r="M13" s="12"/>
      <c r="Q13" s="12"/>
      <c r="T13" s="12"/>
      <c r="W13" s="12"/>
      <c r="X13" s="13" t="s">
        <v>117</v>
      </c>
      <c r="Y13">
        <f>Z12*perteecroutage</f>
        <v>17.765595124282978</v>
      </c>
      <c r="Z13" s="3">
        <f>Z12-Y13</f>
        <v>1310.8400393587692</v>
      </c>
      <c r="AB13" s="12"/>
    </row>
    <row r="14" spans="1:31" x14ac:dyDescent="0.2">
      <c r="B14" s="2"/>
      <c r="C14" s="2"/>
      <c r="D14" s="12"/>
      <c r="G14" s="49"/>
      <c r="I14" s="12"/>
      <c r="J14" s="13" t="s">
        <v>22</v>
      </c>
      <c r="K14">
        <f>K10*L12</f>
        <v>300</v>
      </c>
      <c r="L14">
        <f>K14*pxmarferroti</f>
        <v>1125</v>
      </c>
      <c r="M14" s="12"/>
      <c r="N14" s="13" t="s">
        <v>89</v>
      </c>
      <c r="O14" s="66">
        <f>partepongex</f>
        <v>0.99</v>
      </c>
      <c r="Q14" s="12"/>
      <c r="T14" s="12"/>
      <c r="W14" s="12"/>
      <c r="X14" s="13" t="s">
        <v>53</v>
      </c>
      <c r="AB14" s="12"/>
      <c r="AD14" s="71">
        <f>C25+H25+L25+P25+S25+V25+AA25</f>
        <v>9.4903840344797761</v>
      </c>
    </row>
    <row r="15" spans="1:31" x14ac:dyDescent="0.2">
      <c r="B15" s="2"/>
      <c r="C15" s="2"/>
      <c r="D15" s="12"/>
      <c r="G15" s="3"/>
      <c r="I15" s="12"/>
      <c r="M15" s="12"/>
      <c r="O15" s="3"/>
      <c r="Q15" s="12"/>
      <c r="T15" s="12"/>
      <c r="W15" s="12"/>
      <c r="X15" s="13" t="s">
        <v>54</v>
      </c>
      <c r="AB15" s="12"/>
    </row>
    <row r="16" spans="1:31" x14ac:dyDescent="0.2">
      <c r="B16" s="2"/>
      <c r="C16" s="2"/>
      <c r="D16" s="12"/>
      <c r="G16" s="3"/>
      <c r="I16" s="12"/>
      <c r="M16" s="12"/>
      <c r="Q16" s="12"/>
      <c r="T16" s="12"/>
      <c r="W16" s="12"/>
      <c r="AB16" s="12"/>
      <c r="AD16">
        <v>0.93215373971161697</v>
      </c>
    </row>
    <row r="17" spans="1:33" x14ac:dyDescent="0.2">
      <c r="D17" s="12"/>
      <c r="I17" s="12"/>
      <c r="M17" s="12"/>
      <c r="N17" s="2"/>
      <c r="Q17" s="12"/>
      <c r="T17" s="12"/>
      <c r="W17" s="12"/>
      <c r="X17" t="s">
        <v>43</v>
      </c>
      <c r="Y17" s="13">
        <f>SUM(Y10:Y13)</f>
        <v>88.378710641230782</v>
      </c>
      <c r="AB17" s="12"/>
    </row>
    <row r="18" spans="1:33" x14ac:dyDescent="0.2">
      <c r="A18" s="10"/>
      <c r="D18" s="12"/>
      <c r="I18" s="12"/>
      <c r="M18" s="12"/>
      <c r="Q18" s="12"/>
      <c r="T18" s="12"/>
      <c r="W18" s="12"/>
      <c r="X18" s="13" t="s">
        <v>79</v>
      </c>
      <c r="Y18" s="66">
        <f>krecup</f>
        <v>0.8</v>
      </c>
      <c r="Z18" s="70"/>
      <c r="AB18" s="12"/>
      <c r="AC18" s="3">
        <f>G10+O12</f>
        <v>1406.25</v>
      </c>
      <c r="AD18">
        <f>AD10/AC18</f>
        <v>0.93215373971161708</v>
      </c>
    </row>
    <row r="19" spans="1:33" x14ac:dyDescent="0.2">
      <c r="B19" s="1"/>
      <c r="C19" s="1"/>
      <c r="D19" s="12"/>
      <c r="I19" s="12"/>
      <c r="M19" s="12"/>
      <c r="Q19" s="12"/>
      <c r="T19" s="12"/>
      <c r="W19" s="12"/>
      <c r="X19" t="s">
        <v>18</v>
      </c>
      <c r="Y19" s="3">
        <f>Y17*Y18</f>
        <v>70.702968512984626</v>
      </c>
      <c r="Z19" s="3"/>
      <c r="AA19" s="82">
        <f>Y19*pxmarferroti</f>
        <v>265.13613192369235</v>
      </c>
      <c r="AB19" s="12"/>
    </row>
    <row r="20" spans="1:33" x14ac:dyDescent="0.2">
      <c r="B20" s="2"/>
      <c r="C20" s="2"/>
      <c r="D20" s="12"/>
      <c r="I20" s="12"/>
      <c r="M20" s="12"/>
      <c r="Q20" s="12"/>
      <c r="T20" s="12"/>
      <c r="W20" s="12"/>
      <c r="AB20" s="12"/>
      <c r="AC20" s="13" t="s">
        <v>87</v>
      </c>
      <c r="AD20" s="71">
        <f>AD12-AD14</f>
        <v>15.509615965520224</v>
      </c>
    </row>
    <row r="21" spans="1:33" x14ac:dyDescent="0.2">
      <c r="B21" s="2"/>
      <c r="C21" s="2"/>
      <c r="D21" s="12"/>
      <c r="I21" s="12"/>
      <c r="M21" s="12"/>
      <c r="Q21" s="12"/>
      <c r="T21" s="12"/>
      <c r="W21" s="12"/>
      <c r="Y21" s="3"/>
      <c r="Z21" s="3"/>
      <c r="AB21" s="12"/>
    </row>
    <row r="22" spans="1:33" x14ac:dyDescent="0.2">
      <c r="B22" s="2"/>
      <c r="C22" s="2"/>
      <c r="D22" s="12"/>
      <c r="I22" s="12"/>
      <c r="M22" s="12"/>
      <c r="Q22" s="12"/>
      <c r="T22" s="12"/>
      <c r="W22" s="12"/>
      <c r="AB22" s="12"/>
      <c r="AF22" s="13" t="s">
        <v>104</v>
      </c>
      <c r="AG22" s="13" t="s">
        <v>105</v>
      </c>
    </row>
    <row r="23" spans="1:33" ht="25.5" x14ac:dyDescent="0.2">
      <c r="B23" s="2"/>
      <c r="C23" s="2"/>
      <c r="D23" s="12"/>
      <c r="I23" s="12"/>
      <c r="M23" s="12"/>
      <c r="Q23" s="12"/>
      <c r="T23" s="12"/>
      <c r="W23" s="12"/>
      <c r="AB23" s="12"/>
      <c r="AC23" s="83" t="s">
        <v>101</v>
      </c>
      <c r="AD23" s="84">
        <f>C25+H25+P25+S25+V25</f>
        <v>10.55087567577683</v>
      </c>
      <c r="AE23" s="71">
        <f>AD23-17.79</f>
        <v>-7.2391243242231695</v>
      </c>
      <c r="AF23" s="84">
        <v>5.6150000000000002</v>
      </c>
      <c r="AG23">
        <f>AF23/1.4</f>
        <v>4.0107142857142861</v>
      </c>
    </row>
    <row r="24" spans="1:33" x14ac:dyDescent="0.2">
      <c r="A24" s="10"/>
      <c r="D24" s="12"/>
      <c r="I24" s="12"/>
      <c r="M24" s="12"/>
      <c r="Q24" s="12"/>
      <c r="T24" s="12"/>
      <c r="W24" s="12"/>
      <c r="AB24" s="12"/>
      <c r="AC24" s="10" t="s">
        <v>102</v>
      </c>
      <c r="AD24" s="84">
        <f>L25+AA25</f>
        <v>-1.0604916412970533</v>
      </c>
    </row>
    <row r="25" spans="1:33" x14ac:dyDescent="0.2">
      <c r="A25" s="13" t="s">
        <v>68</v>
      </c>
      <c r="C25" s="8">
        <f>C10/AD10</f>
        <v>0.68658202261570989</v>
      </c>
      <c r="D25" s="18" t="s">
        <v>27</v>
      </c>
      <c r="H25" s="75">
        <f>H10/AD10</f>
        <v>3.1298022050396415</v>
      </c>
      <c r="I25" s="76" t="s">
        <v>27</v>
      </c>
      <c r="L25" s="8">
        <f>-L14/AD10</f>
        <v>-0.85822752826963733</v>
      </c>
      <c r="M25" s="18" t="s">
        <v>27</v>
      </c>
      <c r="P25" s="8">
        <f>P8/AD10</f>
        <v>1.9505171097037215</v>
      </c>
      <c r="Q25" s="18" t="s">
        <v>27</v>
      </c>
      <c r="S25" s="8">
        <f>S8/AD10</f>
        <v>3.1954872195325112</v>
      </c>
      <c r="T25" s="18" t="s">
        <v>27</v>
      </c>
      <c r="V25" s="8">
        <f>V8/AD10</f>
        <v>1.5884871188852447</v>
      </c>
      <c r="W25" s="18" t="s">
        <v>27</v>
      </c>
      <c r="AA25" s="8">
        <f>-AA19/AD10</f>
        <v>-0.20226411302741598</v>
      </c>
      <c r="AB25" s="18" t="s">
        <v>27</v>
      </c>
      <c r="AC25" s="13" t="s">
        <v>103</v>
      </c>
      <c r="AD25" s="71">
        <f>AD23+AD24</f>
        <v>9.4903840344797761</v>
      </c>
      <c r="AE25" s="71">
        <f>AD25-17.79</f>
        <v>-8.2996159655202231</v>
      </c>
      <c r="AF25" s="84">
        <v>6.4139999999999997</v>
      </c>
      <c r="AG25">
        <f>AF25/1.4</f>
        <v>4.5814285714285718</v>
      </c>
    </row>
    <row r="26" spans="1:33" x14ac:dyDescent="0.2">
      <c r="B26" s="2"/>
      <c r="C26" s="2"/>
      <c r="D26" s="12"/>
      <c r="I26" s="12"/>
      <c r="M26" s="12"/>
      <c r="Q26" s="12"/>
      <c r="T26" s="12"/>
      <c r="W26" s="12"/>
      <c r="AB26" s="12"/>
      <c r="AF26" s="84"/>
      <c r="AG26" s="84"/>
    </row>
    <row r="27" spans="1:33" x14ac:dyDescent="0.2">
      <c r="B27" s="2"/>
      <c r="C27" s="2"/>
      <c r="D27" s="12"/>
      <c r="I27" s="12"/>
      <c r="M27" s="12"/>
      <c r="Q27" s="12"/>
      <c r="T27" s="12"/>
      <c r="W27" s="12"/>
      <c r="AB27" s="12"/>
    </row>
    <row r="28" spans="1:33" x14ac:dyDescent="0.2">
      <c r="B28" s="2"/>
      <c r="C28" s="2"/>
      <c r="D28" s="12"/>
      <c r="E28" s="85" t="s">
        <v>8</v>
      </c>
      <c r="F28" s="85"/>
      <c r="G28" s="85"/>
      <c r="H28" s="85"/>
      <c r="I28" s="4">
        <f>PCopeaux</f>
        <v>1.7004146449723441</v>
      </c>
      <c r="AC28" s="13" t="s">
        <v>106</v>
      </c>
      <c r="AE28" s="84">
        <f>AD23+AF23</f>
        <v>16.165875675776832</v>
      </c>
      <c r="AF28" s="84"/>
      <c r="AG28" s="84"/>
    </row>
    <row r="29" spans="1:33" x14ac:dyDescent="0.2">
      <c r="D29" s="12"/>
      <c r="E29" s="85" t="s">
        <v>9</v>
      </c>
      <c r="F29" s="85"/>
      <c r="G29" s="85"/>
      <c r="H29" s="85"/>
      <c r="I29" s="4">
        <f>Pmassifs</f>
        <v>1.1255088099999999</v>
      </c>
      <c r="AC29" s="13" t="s">
        <v>107</v>
      </c>
      <c r="AE29" s="84">
        <f>AD25+AF25</f>
        <v>15.904384034479776</v>
      </c>
    </row>
    <row r="30" spans="1:33" x14ac:dyDescent="0.2">
      <c r="D30" s="12"/>
      <c r="E30" s="85" t="s">
        <v>10</v>
      </c>
      <c r="F30" s="85"/>
      <c r="G30" s="85"/>
      <c r="H30" s="85"/>
      <c r="I30" s="5">
        <f>Tacopeaux</f>
        <v>0.11255088099999999</v>
      </c>
      <c r="O30" s="3"/>
    </row>
    <row r="31" spans="1:33" x14ac:dyDescent="0.2">
      <c r="D31" s="12"/>
      <c r="E31" s="85" t="s">
        <v>11</v>
      </c>
      <c r="F31" s="85"/>
      <c r="G31" s="85"/>
      <c r="H31" s="85"/>
      <c r="I31" s="5">
        <f>Tamassifs</f>
        <v>8.4413160749999994E-2</v>
      </c>
      <c r="N31" s="2"/>
      <c r="O31" s="2"/>
    </row>
    <row r="32" spans="1:33" x14ac:dyDescent="0.2">
      <c r="D32" s="12"/>
      <c r="E32" s="85" t="s">
        <v>12</v>
      </c>
      <c r="F32" s="85"/>
      <c r="G32" s="85"/>
      <c r="H32" s="85"/>
      <c r="I32" s="5">
        <f>Trcopeaux</f>
        <v>0.18758480166666663</v>
      </c>
    </row>
    <row r="33" spans="1:22" x14ac:dyDescent="0.2">
      <c r="D33" s="12"/>
      <c r="E33" s="85" t="s">
        <v>13</v>
      </c>
      <c r="F33" s="85"/>
      <c r="G33" s="85"/>
      <c r="H33" s="85"/>
      <c r="I33" s="5">
        <f>Trmassifs</f>
        <v>5.6275440499999996E-2</v>
      </c>
    </row>
    <row r="34" spans="1:22" x14ac:dyDescent="0.2">
      <c r="D34" s="12"/>
    </row>
    <row r="35" spans="1:22" x14ac:dyDescent="0.2">
      <c r="D35" s="12"/>
    </row>
    <row r="36" spans="1:22" x14ac:dyDescent="0.2">
      <c r="D36" s="12"/>
      <c r="N36" s="3"/>
    </row>
    <row r="37" spans="1:22" x14ac:dyDescent="0.2">
      <c r="N37" s="3"/>
    </row>
    <row r="38" spans="1:22" x14ac:dyDescent="0.2">
      <c r="N38" s="3"/>
      <c r="R38" s="19"/>
      <c r="U38" s="3"/>
    </row>
    <row r="39" spans="1:22" x14ac:dyDescent="0.2">
      <c r="U39" s="3"/>
      <c r="V39" s="7"/>
    </row>
    <row r="42" spans="1:22" x14ac:dyDescent="0.2">
      <c r="A42" t="s">
        <v>1</v>
      </c>
      <c r="B42" s="21">
        <v>5.7</v>
      </c>
      <c r="D42">
        <v>5.65</v>
      </c>
      <c r="G42" s="20"/>
    </row>
    <row r="43" spans="1:22" x14ac:dyDescent="0.2">
      <c r="A43" t="s">
        <v>2</v>
      </c>
      <c r="B43" s="21">
        <v>3.12</v>
      </c>
      <c r="D43">
        <v>3.09</v>
      </c>
      <c r="G43" s="20"/>
    </row>
    <row r="44" spans="1:22" x14ac:dyDescent="0.2">
      <c r="A44" t="s">
        <v>51</v>
      </c>
      <c r="B44" s="21">
        <v>2.7</v>
      </c>
      <c r="G44" s="20"/>
      <c r="H44" t="s">
        <v>27</v>
      </c>
      <c r="J44" t="s">
        <v>44</v>
      </c>
      <c r="L44" t="s">
        <v>27</v>
      </c>
      <c r="N44" t="s">
        <v>44</v>
      </c>
    </row>
    <row r="45" spans="1:22" x14ac:dyDescent="0.2">
      <c r="A45" t="s">
        <v>52</v>
      </c>
      <c r="B45">
        <v>1.4</v>
      </c>
    </row>
    <row r="46" spans="1:22" ht="15" x14ac:dyDescent="0.25">
      <c r="G46" s="23" t="s">
        <v>43</v>
      </c>
      <c r="H46" s="25">
        <f>C25</f>
        <v>0.68658202261570989</v>
      </c>
      <c r="I46" s="23"/>
      <c r="J46" s="23"/>
      <c r="L46" s="28">
        <f t="shared" ref="L46:L52" si="0">IF(H46="",J46*parite,H46)</f>
        <v>0.68658202261570989</v>
      </c>
      <c r="M46" s="29"/>
      <c r="N46" s="30">
        <f t="shared" ref="N46:N52" si="1">IF(J46="",H46/parite,J46)</f>
        <v>0.49041573043979281</v>
      </c>
    </row>
    <row r="47" spans="1:22" ht="15" x14ac:dyDescent="0.25">
      <c r="G47" s="23" t="str">
        <f>E6</f>
        <v>Processing</v>
      </c>
      <c r="H47" s="26"/>
      <c r="I47" s="23"/>
      <c r="J47" s="27">
        <f>H25/parite</f>
        <v>2.2355730035997441</v>
      </c>
      <c r="L47" s="28">
        <f t="shared" si="0"/>
        <v>3.1298022050396415</v>
      </c>
      <c r="M47" s="29"/>
      <c r="N47" s="30">
        <f t="shared" si="1"/>
        <v>2.2355730035997441</v>
      </c>
    </row>
    <row r="48" spans="1:22" ht="15" x14ac:dyDescent="0.25">
      <c r="G48" s="23" t="str">
        <f>J6</f>
        <v>Vente perte du processing</v>
      </c>
      <c r="H48" s="25">
        <f>L25</f>
        <v>-0.85822752826963733</v>
      </c>
      <c r="I48" s="23"/>
      <c r="J48" s="26"/>
      <c r="L48" s="28">
        <f t="shared" si="0"/>
        <v>-0.85822752826963733</v>
      </c>
      <c r="M48" s="29"/>
      <c r="N48" s="30">
        <f t="shared" si="1"/>
        <v>-0.61301966304974098</v>
      </c>
    </row>
    <row r="49" spans="7:15" ht="15" x14ac:dyDescent="0.25">
      <c r="G49" s="23" t="str">
        <f>N6</f>
        <v>Matières Premières</v>
      </c>
      <c r="H49" s="25">
        <f>P25</f>
        <v>1.9505171097037215</v>
      </c>
      <c r="I49" s="23"/>
      <c r="J49" s="26"/>
      <c r="L49" s="28">
        <f t="shared" si="0"/>
        <v>1.9505171097037215</v>
      </c>
      <c r="M49" s="29"/>
      <c r="N49" s="30">
        <f t="shared" si="1"/>
        <v>1.3932265069312297</v>
      </c>
    </row>
    <row r="50" spans="7:15" ht="15" x14ac:dyDescent="0.25">
      <c r="G50" s="23" t="str">
        <f>R6</f>
        <v>CD</v>
      </c>
      <c r="H50" s="26"/>
      <c r="I50" s="23"/>
      <c r="J50" s="27">
        <v>2.3804129663790405</v>
      </c>
      <c r="L50" s="28">
        <f t="shared" si="0"/>
        <v>3.3325781529306564</v>
      </c>
      <c r="M50" s="29"/>
      <c r="N50" s="30">
        <f t="shared" si="1"/>
        <v>2.3804129663790405</v>
      </c>
    </row>
    <row r="51" spans="7:15" ht="15" x14ac:dyDescent="0.25">
      <c r="G51" s="23" t="str">
        <f>U6</f>
        <v>FGx</v>
      </c>
      <c r="H51" s="26"/>
      <c r="I51" s="23"/>
      <c r="J51" s="27">
        <v>1.0863773191117923</v>
      </c>
      <c r="L51" s="28">
        <f t="shared" si="0"/>
        <v>1.5209282467565091</v>
      </c>
      <c r="M51" s="29"/>
      <c r="N51" s="30">
        <f t="shared" si="1"/>
        <v>1.0863773191117923</v>
      </c>
    </row>
    <row r="52" spans="7:15" ht="15" x14ac:dyDescent="0.25">
      <c r="G52" s="23" t="str">
        <f>X6</f>
        <v>Vente chutes</v>
      </c>
      <c r="H52" s="25">
        <f>AA25</f>
        <v>-0.20226411302741598</v>
      </c>
      <c r="I52" s="23"/>
      <c r="J52" s="23"/>
      <c r="L52" s="28">
        <f t="shared" si="0"/>
        <v>-0.20226411302741598</v>
      </c>
      <c r="M52" s="29"/>
      <c r="N52" s="30">
        <f t="shared" si="1"/>
        <v>-0.14447436644815428</v>
      </c>
    </row>
    <row r="53" spans="7:15" ht="13.5" thickBot="1" x14ac:dyDescent="0.25">
      <c r="H53" s="21"/>
      <c r="O53" t="s">
        <v>50</v>
      </c>
    </row>
    <row r="54" spans="7:15" ht="16.5" thickTop="1" thickBot="1" x14ac:dyDescent="0.3">
      <c r="G54" s="22" t="s">
        <v>45</v>
      </c>
      <c r="H54" s="22"/>
      <c r="I54" s="22"/>
      <c r="J54" s="32">
        <v>3.23</v>
      </c>
      <c r="K54" s="22"/>
      <c r="L54" s="33">
        <f>IF(H54="",J54*parite,H54)</f>
        <v>4.5219999999999994</v>
      </c>
      <c r="M54" s="34"/>
      <c r="N54" s="32">
        <f>IF(J54="",H54/parite,J54)</f>
        <v>3.23</v>
      </c>
      <c r="O54" s="31"/>
    </row>
    <row r="55" spans="7:15" ht="15.75" thickTop="1" x14ac:dyDescent="0.25">
      <c r="G55" s="24" t="s">
        <v>46</v>
      </c>
      <c r="H55" s="24"/>
      <c r="I55" s="24"/>
      <c r="J55" s="30"/>
      <c r="K55" s="24"/>
      <c r="L55" s="28">
        <f>SUM(L46:L50)+L52</f>
        <v>8.0389878489926758</v>
      </c>
      <c r="M55" s="24"/>
      <c r="N55" s="30">
        <f>SUM(N46:N50)+N52</f>
        <v>5.7421341778519119</v>
      </c>
      <c r="O55" s="24"/>
    </row>
    <row r="56" spans="7:15" ht="15" x14ac:dyDescent="0.25">
      <c r="G56" s="35" t="s">
        <v>47</v>
      </c>
      <c r="H56" s="35"/>
      <c r="I56" s="35"/>
      <c r="J56" s="35"/>
      <c r="K56" s="35"/>
      <c r="L56" s="36">
        <f>SUM(L46:L52)</f>
        <v>9.5599160957491858</v>
      </c>
      <c r="M56" s="35"/>
      <c r="N56" s="37">
        <f>SUM(N46:N52)</f>
        <v>6.8285114969637046</v>
      </c>
      <c r="O56" s="35"/>
    </row>
    <row r="57" spans="7:15" ht="15.75" thickBot="1" x14ac:dyDescent="0.3">
      <c r="G57" s="38" t="s">
        <v>48</v>
      </c>
      <c r="H57" s="39"/>
      <c r="I57" s="39"/>
      <c r="J57" s="39"/>
      <c r="K57" s="39"/>
      <c r="L57" s="40">
        <f>L56+L54</f>
        <v>14.081916095749186</v>
      </c>
      <c r="M57" s="39"/>
      <c r="N57" s="41">
        <f>N56+N54</f>
        <v>10.058511496963705</v>
      </c>
      <c r="O57" s="42">
        <f>(N57-N55)/N57</f>
        <v>0.42912684649361377</v>
      </c>
    </row>
    <row r="58" spans="7:15" ht="15.75" thickTop="1" x14ac:dyDescent="0.25">
      <c r="G58" s="43" t="s">
        <v>49</v>
      </c>
      <c r="H58" s="44"/>
      <c r="I58" s="44"/>
      <c r="J58" s="44"/>
      <c r="K58" s="44">
        <v>1.2849999999999999</v>
      </c>
      <c r="L58" s="45">
        <f>L56*K58</f>
        <v>12.284492183037703</v>
      </c>
      <c r="M58" s="44"/>
      <c r="N58" s="46">
        <f>N56*K58</f>
        <v>8.7746372735983602</v>
      </c>
      <c r="O58" s="47">
        <f>(N58-N55)/N58</f>
        <v>0.34559868416109008</v>
      </c>
    </row>
  </sheetData>
  <mergeCells count="6">
    <mergeCell ref="E33:H33"/>
    <mergeCell ref="E28:H28"/>
    <mergeCell ref="E29:H29"/>
    <mergeCell ref="E30:H30"/>
    <mergeCell ref="E31:H31"/>
    <mergeCell ref="E32:H32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7"/>
  <sheetViews>
    <sheetView topLeftCell="A7" workbookViewId="0">
      <selection activeCell="D36" sqref="D36"/>
    </sheetView>
  </sheetViews>
  <sheetFormatPr baseColWidth="10" defaultRowHeight="12.75" x14ac:dyDescent="0.2"/>
  <cols>
    <col min="1" max="1" width="17.140625" customWidth="1"/>
    <col min="12" max="12" width="11.140625" customWidth="1"/>
  </cols>
  <sheetData>
    <row r="2" spans="1:15" x14ac:dyDescent="0.2">
      <c r="A2" s="13" t="s">
        <v>32</v>
      </c>
      <c r="B2">
        <v>1.4</v>
      </c>
    </row>
    <row r="4" spans="1:15" x14ac:dyDescent="0.2">
      <c r="B4">
        <v>2013</v>
      </c>
      <c r="C4">
        <v>2014</v>
      </c>
      <c r="D4">
        <v>2015</v>
      </c>
      <c r="E4">
        <v>2016</v>
      </c>
      <c r="F4">
        <v>2017</v>
      </c>
      <c r="G4">
        <v>2018</v>
      </c>
      <c r="H4">
        <v>2019</v>
      </c>
      <c r="I4">
        <v>2020</v>
      </c>
      <c r="J4">
        <v>2021</v>
      </c>
      <c r="K4">
        <v>2022</v>
      </c>
      <c r="L4">
        <v>2023</v>
      </c>
      <c r="M4">
        <v>2024</v>
      </c>
      <c r="N4">
        <v>2025</v>
      </c>
      <c r="O4">
        <v>2026</v>
      </c>
    </row>
    <row r="5" spans="1:15" x14ac:dyDescent="0.2">
      <c r="A5" s="13" t="s">
        <v>29</v>
      </c>
      <c r="B5">
        <v>50</v>
      </c>
    </row>
    <row r="7" spans="1:15" x14ac:dyDescent="0.2">
      <c r="A7" s="13" t="s">
        <v>30</v>
      </c>
      <c r="E7">
        <v>1162.0749999999998</v>
      </c>
      <c r="F7">
        <v>1813.8999999999999</v>
      </c>
      <c r="G7">
        <v>3266.9</v>
      </c>
      <c r="H7">
        <v>3783.1900000000005</v>
      </c>
      <c r="I7">
        <v>4030.75</v>
      </c>
      <c r="J7">
        <v>4036.8</v>
      </c>
      <c r="K7">
        <v>4036.8</v>
      </c>
      <c r="L7">
        <v>4032.8</v>
      </c>
      <c r="M7">
        <v>4032.8</v>
      </c>
      <c r="N7">
        <v>4032.8</v>
      </c>
      <c r="O7">
        <v>4032.8</v>
      </c>
    </row>
    <row r="9" spans="1:15" x14ac:dyDescent="0.2">
      <c r="A9" s="13" t="s">
        <v>31</v>
      </c>
      <c r="B9" s="13" t="s">
        <v>17</v>
      </c>
      <c r="C9" s="14">
        <v>3.33</v>
      </c>
      <c r="D9" s="15">
        <f>C9/eurodol</f>
        <v>2.3785714285714286</v>
      </c>
      <c r="F9" s="13" t="s">
        <v>33</v>
      </c>
      <c r="G9" s="14">
        <v>4.8540000000000001</v>
      </c>
      <c r="H9" s="15">
        <f>G9/eurodol</f>
        <v>3.4671428571428575</v>
      </c>
      <c r="J9" s="13" t="s">
        <v>34</v>
      </c>
      <c r="L9" s="16">
        <f>D9*2-H9</f>
        <v>1.2899999999999996</v>
      </c>
    </row>
    <row r="11" spans="1:15" x14ac:dyDescent="0.2">
      <c r="A11" s="13" t="s">
        <v>35</v>
      </c>
      <c r="B11" s="17">
        <f>B7*$L$9</f>
        <v>0</v>
      </c>
      <c r="C11" s="17">
        <f t="shared" ref="C11:O11" si="0">C7*$L$9</f>
        <v>0</v>
      </c>
      <c r="D11" s="17">
        <f t="shared" si="0"/>
        <v>0</v>
      </c>
      <c r="E11" s="17">
        <f t="shared" si="0"/>
        <v>1499.0767499999993</v>
      </c>
      <c r="F11" s="17">
        <f t="shared" si="0"/>
        <v>2339.9309999999991</v>
      </c>
      <c r="G11" s="17">
        <f t="shared" si="0"/>
        <v>4214.3009999999986</v>
      </c>
      <c r="H11" s="17">
        <f t="shared" si="0"/>
        <v>4880.3150999999989</v>
      </c>
      <c r="I11" s="17">
        <f t="shared" si="0"/>
        <v>5199.6674999999987</v>
      </c>
      <c r="J11" s="17">
        <f t="shared" si="0"/>
        <v>5207.4719999999988</v>
      </c>
      <c r="K11" s="17">
        <f t="shared" si="0"/>
        <v>5207.4719999999988</v>
      </c>
      <c r="L11" s="17">
        <f t="shared" si="0"/>
        <v>5202.311999999999</v>
      </c>
      <c r="M11" s="17">
        <f t="shared" si="0"/>
        <v>5202.311999999999</v>
      </c>
      <c r="N11" s="17">
        <f t="shared" si="0"/>
        <v>5202.311999999999</v>
      </c>
      <c r="O11" s="17">
        <f t="shared" si="0"/>
        <v>5202.311999999999</v>
      </c>
    </row>
    <row r="12" spans="1:15" x14ac:dyDescent="0.2">
      <c r="A12" s="13" t="s">
        <v>36</v>
      </c>
      <c r="C12" s="17">
        <f>C11+B12</f>
        <v>0</v>
      </c>
      <c r="D12" s="17">
        <f t="shared" ref="D12:O12" si="1">D11+C12</f>
        <v>0</v>
      </c>
      <c r="E12" s="17">
        <f t="shared" si="1"/>
        <v>1499.0767499999993</v>
      </c>
      <c r="F12" s="17">
        <f t="shared" si="1"/>
        <v>3839.0077499999984</v>
      </c>
      <c r="G12" s="17">
        <f t="shared" si="1"/>
        <v>8053.3087499999965</v>
      </c>
      <c r="H12" s="17">
        <f t="shared" si="1"/>
        <v>12933.623849999996</v>
      </c>
      <c r="I12" s="17">
        <f t="shared" si="1"/>
        <v>18133.291349999996</v>
      </c>
      <c r="J12" s="17">
        <f t="shared" si="1"/>
        <v>23340.763349999994</v>
      </c>
      <c r="K12" s="17">
        <f t="shared" si="1"/>
        <v>28548.235349999992</v>
      </c>
      <c r="L12" s="17">
        <f t="shared" si="1"/>
        <v>33750.547349999993</v>
      </c>
      <c r="M12" s="17">
        <f t="shared" si="1"/>
        <v>38952.859349999992</v>
      </c>
      <c r="N12" s="17">
        <f t="shared" si="1"/>
        <v>44155.17134999999</v>
      </c>
      <c r="O12" s="17">
        <f t="shared" si="1"/>
        <v>49357.483349999988</v>
      </c>
    </row>
    <row r="13" spans="1:15" x14ac:dyDescent="0.2">
      <c r="A13" s="13" t="s">
        <v>38</v>
      </c>
      <c r="B13" s="17">
        <f>-$B$5*1000+B12</f>
        <v>-50000</v>
      </c>
      <c r="C13" s="17">
        <f t="shared" ref="C13:O13" si="2">-$B$5*1000+C12</f>
        <v>-50000</v>
      </c>
      <c r="D13" s="17">
        <f t="shared" si="2"/>
        <v>-50000</v>
      </c>
      <c r="E13" s="17">
        <f t="shared" si="2"/>
        <v>-48500.92325</v>
      </c>
      <c r="F13" s="17">
        <f t="shared" si="2"/>
        <v>-46160.992250000003</v>
      </c>
      <c r="G13" s="17">
        <f t="shared" si="2"/>
        <v>-41946.691250000003</v>
      </c>
      <c r="H13" s="17">
        <f t="shared" si="2"/>
        <v>-37066.376150000004</v>
      </c>
      <c r="I13" s="17">
        <f t="shared" si="2"/>
        <v>-31866.708650000004</v>
      </c>
      <c r="J13" s="17">
        <f t="shared" si="2"/>
        <v>-26659.236650000006</v>
      </c>
      <c r="K13" s="17">
        <f t="shared" si="2"/>
        <v>-21451.764650000008</v>
      </c>
      <c r="L13" s="17">
        <f t="shared" si="2"/>
        <v>-16249.452650000007</v>
      </c>
      <c r="M13" s="17">
        <f t="shared" si="2"/>
        <v>-11047.140650000008</v>
      </c>
      <c r="N13" s="17">
        <f t="shared" si="2"/>
        <v>-5844.8286500000104</v>
      </c>
      <c r="O13" s="17">
        <f t="shared" si="2"/>
        <v>-642.51665000001231</v>
      </c>
    </row>
    <row r="14" spans="1:15" x14ac:dyDescent="0.2">
      <c r="I14">
        <f>(H9+L9)*$I$7</f>
        <v>19174.853571428572</v>
      </c>
    </row>
    <row r="15" spans="1:15" x14ac:dyDescent="0.2">
      <c r="A15" s="13" t="s">
        <v>39</v>
      </c>
      <c r="B15" s="13" t="s">
        <v>17</v>
      </c>
      <c r="C15" s="14">
        <v>3.33</v>
      </c>
      <c r="D15" s="15">
        <f>C15/eurodol</f>
        <v>2.3785714285714286</v>
      </c>
      <c r="F15" s="13" t="s">
        <v>33</v>
      </c>
      <c r="G15" s="14">
        <v>4.8540000000000001</v>
      </c>
      <c r="H15" s="15">
        <f>G15/eurodol</f>
        <v>3.4671428571428575</v>
      </c>
      <c r="J15" s="13" t="s">
        <v>37</v>
      </c>
      <c r="L15" s="16">
        <f>H15*0.5</f>
        <v>1.7335714285714288</v>
      </c>
    </row>
    <row r="17" spans="1:15" x14ac:dyDescent="0.2">
      <c r="A17" s="13" t="s">
        <v>35</v>
      </c>
      <c r="B17" s="17">
        <f>B7*$L$15</f>
        <v>0</v>
      </c>
      <c r="C17" s="17">
        <f t="shared" ref="C17:O17" si="3">C7*$L$15</f>
        <v>0</v>
      </c>
      <c r="D17" s="17">
        <f t="shared" si="3"/>
        <v>0</v>
      </c>
      <c r="E17" s="17">
        <f t="shared" si="3"/>
        <v>2014.5400178571429</v>
      </c>
      <c r="F17" s="17">
        <f t="shared" si="3"/>
        <v>3144.5252142857144</v>
      </c>
      <c r="G17" s="17">
        <f t="shared" si="3"/>
        <v>5663.4045000000006</v>
      </c>
      <c r="H17" s="17">
        <f t="shared" si="3"/>
        <v>6558.4300928571447</v>
      </c>
      <c r="I17" s="17">
        <f t="shared" si="3"/>
        <v>6987.5930357142861</v>
      </c>
      <c r="J17" s="17">
        <f t="shared" si="3"/>
        <v>6998.0811428571442</v>
      </c>
      <c r="K17" s="17">
        <f t="shared" si="3"/>
        <v>6998.0811428571442</v>
      </c>
      <c r="L17" s="17">
        <f t="shared" si="3"/>
        <v>6991.1468571428586</v>
      </c>
      <c r="M17" s="17">
        <f t="shared" si="3"/>
        <v>6991.1468571428586</v>
      </c>
      <c r="N17" s="17">
        <f t="shared" si="3"/>
        <v>6991.1468571428586</v>
      </c>
      <c r="O17" s="17">
        <f t="shared" si="3"/>
        <v>6991.1468571428586</v>
      </c>
    </row>
    <row r="18" spans="1:15" x14ac:dyDescent="0.2">
      <c r="A18" s="13" t="s">
        <v>36</v>
      </c>
      <c r="C18" s="17">
        <f>C17+B18</f>
        <v>0</v>
      </c>
      <c r="D18" s="17">
        <f t="shared" ref="D18:O18" si="4">D17+C18</f>
        <v>0</v>
      </c>
      <c r="E18" s="17">
        <f t="shared" si="4"/>
        <v>2014.5400178571429</v>
      </c>
      <c r="F18" s="17">
        <f t="shared" si="4"/>
        <v>5159.065232142857</v>
      </c>
      <c r="G18" s="17">
        <f t="shared" si="4"/>
        <v>10822.469732142858</v>
      </c>
      <c r="H18" s="17">
        <f t="shared" si="4"/>
        <v>17380.899825</v>
      </c>
      <c r="I18" s="17">
        <f t="shared" si="4"/>
        <v>24368.492860714287</v>
      </c>
      <c r="J18" s="17">
        <f t="shared" si="4"/>
        <v>31366.57400357143</v>
      </c>
      <c r="K18" s="17">
        <f t="shared" si="4"/>
        <v>38364.655146428573</v>
      </c>
      <c r="L18" s="17">
        <f t="shared" si="4"/>
        <v>45355.802003571429</v>
      </c>
      <c r="M18" s="17">
        <f t="shared" si="4"/>
        <v>52346.948860714285</v>
      </c>
      <c r="N18" s="17">
        <f t="shared" si="4"/>
        <v>59338.095717857141</v>
      </c>
      <c r="O18" s="17">
        <f t="shared" si="4"/>
        <v>66329.242574999997</v>
      </c>
    </row>
    <row r="19" spans="1:15" x14ac:dyDescent="0.2">
      <c r="A19" s="13" t="s">
        <v>38</v>
      </c>
      <c r="B19" s="17">
        <f>-$B$5*1000+B18</f>
        <v>-50000</v>
      </c>
      <c r="C19" s="17">
        <f t="shared" ref="C19:M19" si="5">-$B$5*1000+C18</f>
        <v>-50000</v>
      </c>
      <c r="D19" s="17">
        <f t="shared" si="5"/>
        <v>-50000</v>
      </c>
      <c r="E19" s="17">
        <f t="shared" si="5"/>
        <v>-47985.459982142856</v>
      </c>
      <c r="F19" s="17">
        <f t="shared" si="5"/>
        <v>-44840.934767857143</v>
      </c>
      <c r="G19" s="17">
        <f t="shared" si="5"/>
        <v>-39177.530267857146</v>
      </c>
      <c r="H19" s="17">
        <f t="shared" si="5"/>
        <v>-32619.100175</v>
      </c>
      <c r="I19" s="17">
        <f t="shared" si="5"/>
        <v>-25631.507139285713</v>
      </c>
      <c r="J19" s="17">
        <f t="shared" si="5"/>
        <v>-18633.42599642857</v>
      </c>
      <c r="K19" s="17">
        <f t="shared" si="5"/>
        <v>-11635.344853571427</v>
      </c>
      <c r="L19" s="17">
        <f t="shared" si="5"/>
        <v>-4644.1979964285711</v>
      </c>
      <c r="M19" s="17">
        <f t="shared" si="5"/>
        <v>2346.9488607142848</v>
      </c>
      <c r="N19" s="17">
        <f>-$B$5*1000+N18</f>
        <v>9338.0957178571407</v>
      </c>
      <c r="O19" s="17">
        <f>-$B$5*1000+O18</f>
        <v>16329.242574999997</v>
      </c>
    </row>
    <row r="20" spans="1:15" x14ac:dyDescent="0.2">
      <c r="I20">
        <f>(H15+L15)*$I$7</f>
        <v>20962.779107142862</v>
      </c>
    </row>
    <row r="22" spans="1:15" x14ac:dyDescent="0.2">
      <c r="A22" s="13" t="s">
        <v>40</v>
      </c>
      <c r="F22" s="13"/>
      <c r="H22" s="15">
        <f>H15</f>
        <v>3.4671428571428575</v>
      </c>
      <c r="J22" s="13" t="s">
        <v>41</v>
      </c>
      <c r="L22" s="16">
        <v>2.2999999999999998</v>
      </c>
    </row>
    <row r="24" spans="1:15" x14ac:dyDescent="0.2">
      <c r="A24" s="13" t="s">
        <v>35</v>
      </c>
      <c r="B24" s="17">
        <f>B7*$L$22</f>
        <v>0</v>
      </c>
      <c r="C24" s="17">
        <f t="shared" ref="C24:O24" si="6">C7*$L$22</f>
        <v>0</v>
      </c>
      <c r="D24" s="17">
        <f t="shared" si="6"/>
        <v>0</v>
      </c>
      <c r="E24" s="17">
        <f t="shared" si="6"/>
        <v>2672.7724999999996</v>
      </c>
      <c r="F24" s="17">
        <f t="shared" si="6"/>
        <v>4171.9699999999993</v>
      </c>
      <c r="G24" s="17">
        <f t="shared" si="6"/>
        <v>7513.87</v>
      </c>
      <c r="H24" s="17">
        <f t="shared" si="6"/>
        <v>8701.3370000000014</v>
      </c>
      <c r="I24" s="17">
        <f t="shared" si="6"/>
        <v>9270.7249999999985</v>
      </c>
      <c r="J24" s="17">
        <f t="shared" si="6"/>
        <v>9284.64</v>
      </c>
      <c r="K24" s="17">
        <f t="shared" si="6"/>
        <v>9284.64</v>
      </c>
      <c r="L24" s="17">
        <f t="shared" si="6"/>
        <v>9275.44</v>
      </c>
      <c r="M24" s="17">
        <f t="shared" si="6"/>
        <v>9275.44</v>
      </c>
      <c r="N24" s="17">
        <f t="shared" si="6"/>
        <v>9275.44</v>
      </c>
      <c r="O24" s="17">
        <f t="shared" si="6"/>
        <v>9275.44</v>
      </c>
    </row>
    <row r="25" spans="1:15" x14ac:dyDescent="0.2">
      <c r="A25" s="13" t="s">
        <v>36</v>
      </c>
      <c r="C25" s="17">
        <f>C24+B25</f>
        <v>0</v>
      </c>
      <c r="D25" s="17">
        <f t="shared" ref="D25:O25" si="7">D24+C25</f>
        <v>0</v>
      </c>
      <c r="E25" s="17">
        <f t="shared" si="7"/>
        <v>2672.7724999999996</v>
      </c>
      <c r="F25" s="17">
        <f t="shared" si="7"/>
        <v>6844.7424999999985</v>
      </c>
      <c r="G25" s="17">
        <f t="shared" si="7"/>
        <v>14358.612499999999</v>
      </c>
      <c r="H25" s="17">
        <f t="shared" si="7"/>
        <v>23059.949500000002</v>
      </c>
      <c r="I25" s="17">
        <f t="shared" si="7"/>
        <v>32330.674500000001</v>
      </c>
      <c r="J25" s="17">
        <f t="shared" si="7"/>
        <v>41615.3145</v>
      </c>
      <c r="K25" s="17">
        <f t="shared" si="7"/>
        <v>50899.9545</v>
      </c>
      <c r="L25" s="17">
        <f t="shared" si="7"/>
        <v>60175.394500000002</v>
      </c>
      <c r="M25" s="17">
        <f t="shared" si="7"/>
        <v>69450.834499999997</v>
      </c>
      <c r="N25" s="17">
        <f t="shared" si="7"/>
        <v>78726.2745</v>
      </c>
      <c r="O25" s="17">
        <f t="shared" si="7"/>
        <v>88001.714500000002</v>
      </c>
    </row>
    <row r="26" spans="1:15" x14ac:dyDescent="0.2">
      <c r="A26" s="13" t="s">
        <v>38</v>
      </c>
      <c r="B26" s="17">
        <f t="shared" ref="B26:O26" si="8">-$B$5*1000+B25</f>
        <v>-50000</v>
      </c>
      <c r="C26" s="17">
        <f t="shared" si="8"/>
        <v>-50000</v>
      </c>
      <c r="D26" s="17">
        <f t="shared" si="8"/>
        <v>-50000</v>
      </c>
      <c r="E26" s="17">
        <f t="shared" si="8"/>
        <v>-47327.227500000001</v>
      </c>
      <c r="F26" s="17">
        <f t="shared" si="8"/>
        <v>-43155.2575</v>
      </c>
      <c r="G26" s="17">
        <f t="shared" si="8"/>
        <v>-35641.387499999997</v>
      </c>
      <c r="H26" s="17">
        <f t="shared" si="8"/>
        <v>-26940.050499999998</v>
      </c>
      <c r="I26" s="17">
        <f t="shared" si="8"/>
        <v>-17669.325499999999</v>
      </c>
      <c r="J26" s="17">
        <f t="shared" si="8"/>
        <v>-8384.6854999999996</v>
      </c>
      <c r="K26" s="17">
        <f t="shared" si="8"/>
        <v>899.95449999999983</v>
      </c>
      <c r="L26" s="17">
        <f t="shared" si="8"/>
        <v>10175.394500000002</v>
      </c>
      <c r="M26" s="17">
        <f t="shared" si="8"/>
        <v>19450.834499999997</v>
      </c>
      <c r="N26" s="17">
        <f t="shared" si="8"/>
        <v>28726.2745</v>
      </c>
      <c r="O26" s="17">
        <f t="shared" si="8"/>
        <v>38001.714500000002</v>
      </c>
    </row>
    <row r="27" spans="1:15" x14ac:dyDescent="0.2">
      <c r="I27">
        <f>(H22+L22)*$I$7</f>
        <v>23245.911071428574</v>
      </c>
    </row>
  </sheetData>
  <phoneticPr fontId="1" type="noConversion"/>
  <pageMargins left="0.25" right="0.25" top="0.75" bottom="0.75" header="0.3" footer="0.3"/>
  <pageSetup paperSize="9" scale="82" fitToHeight="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29</vt:i4>
      </vt:variant>
    </vt:vector>
  </HeadingPairs>
  <TitlesOfParts>
    <vt:vector size="34" baseType="lpstr">
      <vt:lpstr>Décomposition Coût</vt:lpstr>
      <vt:lpstr>Paramètres</vt:lpstr>
      <vt:lpstr>Matières</vt:lpstr>
      <vt:lpstr>Calcul Devis</vt:lpstr>
      <vt:lpstr>Schéma Flux Fi</vt:lpstr>
      <vt:lpstr>cdfusion</vt:lpstr>
      <vt:lpstr>chuferro</vt:lpstr>
      <vt:lpstr>copeau</vt:lpstr>
      <vt:lpstr>eurodol</vt:lpstr>
      <vt:lpstr>fgxfusion</vt:lpstr>
      <vt:lpstr>krecup</vt:lpstr>
      <vt:lpstr>massif</vt:lpstr>
      <vt:lpstr>parite</vt:lpstr>
      <vt:lpstr>partepongex</vt:lpstr>
      <vt:lpstr>PCopeaux</vt:lpstr>
      <vt:lpstr>perteecroutage</vt:lpstr>
      <vt:lpstr>pertegalette</vt:lpstr>
      <vt:lpstr>Pmassifs</vt:lpstr>
      <vt:lpstr>pxeponge</vt:lpstr>
      <vt:lpstr>pxmarcopeau</vt:lpstr>
      <vt:lpstr>pxmarferroti</vt:lpstr>
      <vt:lpstr>pxmarlingot</vt:lpstr>
      <vt:lpstr>pxmarmassif</vt:lpstr>
      <vt:lpstr>pxmasteral</vt:lpstr>
      <vt:lpstr>Rdtcopeaux</vt:lpstr>
      <vt:lpstr>Rdtmassifs</vt:lpstr>
      <vt:lpstr>ruplasma</vt:lpstr>
      <vt:lpstr>ruvar</vt:lpstr>
      <vt:lpstr>Tacopeaux</vt:lpstr>
      <vt:lpstr>Tamassifs</vt:lpstr>
      <vt:lpstr>tcopeaux</vt:lpstr>
      <vt:lpstr>tmassifs</vt:lpstr>
      <vt:lpstr>Trcopeaux</vt:lpstr>
      <vt:lpstr>Trmassifs</vt:lpstr>
    </vt:vector>
  </TitlesOfParts>
  <Company>Aubert &amp; Duval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Delaborde</dc:creator>
  <cp:lastModifiedBy>Patrick Delaborde</cp:lastModifiedBy>
  <cp:lastPrinted>2012-10-05T13:38:05Z</cp:lastPrinted>
  <dcterms:created xsi:type="dcterms:W3CDTF">2012-10-05T06:05:43Z</dcterms:created>
  <dcterms:modified xsi:type="dcterms:W3CDTF">2013-05-02T15:24:14Z</dcterms:modified>
</cp:coreProperties>
</file>