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19320" windowHeight="11130" activeTab="1"/>
  </bookViews>
  <sheets>
    <sheet name="Décomposition Coût" sheetId="1" r:id="rId1"/>
    <sheet name="Devis" sheetId="4" r:id="rId2"/>
    <sheet name="Schéma Flux Fi" sheetId="2" r:id="rId3"/>
    <sheet name="Feuil3" sheetId="3" r:id="rId4"/>
  </sheets>
  <definedNames>
    <definedName name="chuferro">Devis!$B$37</definedName>
    <definedName name="copeau">Devis!$B$36</definedName>
    <definedName name="eurodol">'Schéma Flux Fi'!$B$2</definedName>
    <definedName name="massif">Devis!$B$35</definedName>
    <definedName name="parite">Devis!$B$38</definedName>
  </definedNames>
  <calcPr calcId="145621"/>
</workbook>
</file>

<file path=xl/calcChain.xml><?xml version="1.0" encoding="utf-8"?>
<calcChain xmlns="http://schemas.openxmlformats.org/spreadsheetml/2006/main">
  <c r="M47" i="4" l="1"/>
  <c r="K47" i="4"/>
  <c r="M40" i="4"/>
  <c r="M43" i="4"/>
  <c r="M44" i="4"/>
  <c r="K40" i="4"/>
  <c r="K43" i="4"/>
  <c r="K44" i="4"/>
  <c r="Y8" i="4"/>
  <c r="Y10" i="4" s="1"/>
  <c r="G45" i="4" s="1"/>
  <c r="K45" i="4" s="1"/>
  <c r="F45" i="4"/>
  <c r="F44" i="4"/>
  <c r="F43" i="4"/>
  <c r="F42" i="4"/>
  <c r="F41" i="4"/>
  <c r="F40" i="4"/>
  <c r="M45" i="4" l="1"/>
  <c r="C15" i="4"/>
  <c r="C14" i="4"/>
  <c r="C9" i="4"/>
  <c r="C8" i="4"/>
  <c r="B16" i="4"/>
  <c r="AB12" i="4"/>
  <c r="U10" i="4"/>
  <c r="R10" i="4"/>
  <c r="O10" i="4"/>
  <c r="G42" i="4" s="1"/>
  <c r="F10" i="4"/>
  <c r="B10" i="4"/>
  <c r="J9" i="4"/>
  <c r="G9" i="4"/>
  <c r="J8" i="4"/>
  <c r="G8" i="4"/>
  <c r="P34" i="1"/>
  <c r="Q34" i="1" s="1"/>
  <c r="Q33" i="1"/>
  <c r="C24" i="2"/>
  <c r="C25" i="2"/>
  <c r="D24" i="2"/>
  <c r="E24" i="2"/>
  <c r="F24" i="2"/>
  <c r="G24" i="2"/>
  <c r="H24" i="2"/>
  <c r="I24" i="2"/>
  <c r="J24" i="2"/>
  <c r="K24" i="2"/>
  <c r="L24" i="2"/>
  <c r="M24" i="2"/>
  <c r="N24" i="2"/>
  <c r="O24" i="2"/>
  <c r="B24" i="2"/>
  <c r="B26" i="2"/>
  <c r="B19" i="2"/>
  <c r="B13" i="2"/>
  <c r="H15" i="2"/>
  <c r="D15" i="2"/>
  <c r="H9" i="2"/>
  <c r="D9" i="2"/>
  <c r="L9" i="2" s="1"/>
  <c r="M30" i="1"/>
  <c r="C10" i="1"/>
  <c r="C18" i="1" s="1"/>
  <c r="M29" i="1" s="1"/>
  <c r="M31" i="1" s="1"/>
  <c r="Q31" i="1" s="1"/>
  <c r="C16" i="1"/>
  <c r="C20" i="1"/>
  <c r="G8" i="1"/>
  <c r="G10" i="1" s="1"/>
  <c r="G9" i="1"/>
  <c r="O10" i="1"/>
  <c r="R10" i="1"/>
  <c r="U10" i="1"/>
  <c r="X10" i="1"/>
  <c r="AA12" i="1"/>
  <c r="J8" i="1"/>
  <c r="J10" i="1" s="1"/>
  <c r="J9" i="1"/>
  <c r="F10" i="1"/>
  <c r="B10" i="1"/>
  <c r="B18" i="1" s="1"/>
  <c r="B16" i="1"/>
  <c r="G12" i="1"/>
  <c r="G10" i="4" l="1"/>
  <c r="G12" i="4" s="1"/>
  <c r="B18" i="4"/>
  <c r="J10" i="4"/>
  <c r="K10" i="4" s="1"/>
  <c r="K12" i="4" s="1"/>
  <c r="G41" i="4" s="1"/>
  <c r="K41" i="4" s="1"/>
  <c r="M42" i="4"/>
  <c r="K42" i="4"/>
  <c r="C16" i="4"/>
  <c r="C10" i="4"/>
  <c r="C11" i="2"/>
  <c r="C12" i="2" s="1"/>
  <c r="C13" i="2" s="1"/>
  <c r="L11" i="2"/>
  <c r="I14" i="2"/>
  <c r="Q32" i="1"/>
  <c r="T31" i="1"/>
  <c r="T32" i="1" s="1"/>
  <c r="C26" i="2"/>
  <c r="D25" i="2"/>
  <c r="I11" i="2"/>
  <c r="M11" i="2"/>
  <c r="D11" i="2"/>
  <c r="F11" i="2"/>
  <c r="J11" i="2"/>
  <c r="N11" i="2"/>
  <c r="E11" i="2"/>
  <c r="G11" i="2"/>
  <c r="K11" i="2"/>
  <c r="O11" i="2"/>
  <c r="H11" i="2"/>
  <c r="B11" i="2"/>
  <c r="I20" i="2"/>
  <c r="H22" i="2"/>
  <c r="I27" i="2" s="1"/>
  <c r="L15" i="2"/>
  <c r="M41" i="4" l="1"/>
  <c r="C18" i="4"/>
  <c r="C20" i="4" s="1"/>
  <c r="G39" i="4" s="1"/>
  <c r="D12" i="2"/>
  <c r="D13" i="2" s="1"/>
  <c r="D26" i="2"/>
  <c r="E25" i="2"/>
  <c r="E17" i="2"/>
  <c r="I17" i="2"/>
  <c r="M17" i="2"/>
  <c r="F17" i="2"/>
  <c r="J17" i="2"/>
  <c r="N17" i="2"/>
  <c r="C17" i="2"/>
  <c r="C18" i="2" s="1"/>
  <c r="C19" i="2" s="1"/>
  <c r="G17" i="2"/>
  <c r="K17" i="2"/>
  <c r="O17" i="2"/>
  <c r="D17" i="2"/>
  <c r="D18" i="2" s="1"/>
  <c r="D19" i="2" s="1"/>
  <c r="H17" i="2"/>
  <c r="L17" i="2"/>
  <c r="B17" i="2"/>
  <c r="M39" i="4" l="1"/>
  <c r="K39" i="4"/>
  <c r="E12" i="2"/>
  <c r="E18" i="2"/>
  <c r="E19" i="2" s="1"/>
  <c r="E26" i="2"/>
  <c r="F25" i="2"/>
  <c r="M48" i="4" l="1"/>
  <c r="M49" i="4"/>
  <c r="K49" i="4"/>
  <c r="K48" i="4"/>
  <c r="E13" i="2"/>
  <c r="F12" i="2"/>
  <c r="G25" i="2"/>
  <c r="F26" i="2"/>
  <c r="F18" i="2"/>
  <c r="M50" i="4" l="1"/>
  <c r="N50" i="4" s="1"/>
  <c r="M51" i="4"/>
  <c r="N51" i="4" s="1"/>
  <c r="K50" i="4"/>
  <c r="K51" i="4"/>
  <c r="F13" i="2"/>
  <c r="G12" i="2"/>
  <c r="H25" i="2"/>
  <c r="G26" i="2"/>
  <c r="F19" i="2"/>
  <c r="G18" i="2"/>
  <c r="G13" i="2" l="1"/>
  <c r="H12" i="2"/>
  <c r="G19" i="2"/>
  <c r="H18" i="2"/>
  <c r="H26" i="2"/>
  <c r="I25" i="2"/>
  <c r="H13" i="2" l="1"/>
  <c r="I12" i="2"/>
  <c r="I26" i="2"/>
  <c r="J25" i="2"/>
  <c r="H19" i="2"/>
  <c r="I18" i="2"/>
  <c r="I13" i="2" l="1"/>
  <c r="J12" i="2"/>
  <c r="J26" i="2"/>
  <c r="K25" i="2"/>
  <c r="I19" i="2"/>
  <c r="J18" i="2"/>
  <c r="J13" i="2" l="1"/>
  <c r="K12" i="2"/>
  <c r="J19" i="2"/>
  <c r="K18" i="2"/>
  <c r="L25" i="2"/>
  <c r="K26" i="2"/>
  <c r="K13" i="2" l="1"/>
  <c r="L12" i="2"/>
  <c r="K19" i="2"/>
  <c r="L18" i="2"/>
  <c r="L26" i="2"/>
  <c r="M25" i="2"/>
  <c r="L13" i="2" l="1"/>
  <c r="M12" i="2"/>
  <c r="M26" i="2"/>
  <c r="N25" i="2"/>
  <c r="L19" i="2"/>
  <c r="M18" i="2"/>
  <c r="M13" i="2" l="1"/>
  <c r="N12" i="2"/>
  <c r="M19" i="2"/>
  <c r="N18" i="2"/>
  <c r="N26" i="2"/>
  <c r="O25" i="2"/>
  <c r="O26" i="2" s="1"/>
  <c r="N13" i="2" l="1"/>
  <c r="O12" i="2"/>
  <c r="O13" i="2" s="1"/>
  <c r="N19" i="2"/>
  <c r="O18" i="2"/>
  <c r="O19" i="2" s="1"/>
</calcChain>
</file>

<file path=xl/sharedStrings.xml><?xml version="1.0" encoding="utf-8"?>
<sst xmlns="http://schemas.openxmlformats.org/spreadsheetml/2006/main" count="161" uniqueCount="56">
  <si>
    <t>Chutes Eco Circulaire</t>
  </si>
  <si>
    <t>Massif</t>
  </si>
  <si>
    <t>Copeaux</t>
  </si>
  <si>
    <t>t</t>
  </si>
  <si>
    <t>$</t>
  </si>
  <si>
    <t>k$</t>
  </si>
  <si>
    <t>Chutes Marché Libre</t>
  </si>
  <si>
    <t>Processing</t>
  </si>
  <si>
    <t>Coût du processing copeaux (€/kg) :</t>
  </si>
  <si>
    <t>Coût du processing chutes (€/kg) :</t>
  </si>
  <si>
    <t>Coût du transport aller des copeaux (€/kg) :</t>
  </si>
  <si>
    <t>Coût du transport aller des chutes (€/kg) :</t>
  </si>
  <si>
    <t>Coût du transport retour des copeaux (€/kg) :</t>
  </si>
  <si>
    <t>Coût du transport retour des chutes (€/kg) :</t>
  </si>
  <si>
    <t>Vente perte du processing</t>
  </si>
  <si>
    <t>Eponges + MA</t>
  </si>
  <si>
    <t>Total</t>
  </si>
  <si>
    <t>CD</t>
  </si>
  <si>
    <t>Montant</t>
  </si>
  <si>
    <t>FGx</t>
  </si>
  <si>
    <t>Vente chutes</t>
  </si>
  <si>
    <t>CA</t>
  </si>
  <si>
    <t>Vente</t>
  </si>
  <si>
    <t>Gain</t>
  </si>
  <si>
    <t>Année 2020</t>
  </si>
  <si>
    <t>Tonnage lingot</t>
  </si>
  <si>
    <t>k€</t>
  </si>
  <si>
    <t>$/kg</t>
  </si>
  <si>
    <t>Matières Premières</t>
  </si>
  <si>
    <t>Total Décaissement</t>
  </si>
  <si>
    <t>Tonnes Lingots</t>
  </si>
  <si>
    <t>Marge 1</t>
  </si>
  <si>
    <t>Parité</t>
  </si>
  <si>
    <t>CC</t>
  </si>
  <si>
    <t>Marge  (base 2 CD)</t>
  </si>
  <si>
    <t>Marge Générée</t>
  </si>
  <si>
    <t>Cumul Marge</t>
  </si>
  <si>
    <t>Marge  (base 1,5 CC)</t>
  </si>
  <si>
    <t>Cumul Résultat</t>
  </si>
  <si>
    <t>Marge 2</t>
  </si>
  <si>
    <t>Cible Marge</t>
  </si>
  <si>
    <t>Marge Nécessaire</t>
  </si>
  <si>
    <t>Achat +CA</t>
  </si>
  <si>
    <t>Chutes</t>
  </si>
  <si>
    <t>€/kg</t>
  </si>
  <si>
    <t>Marge Cible</t>
  </si>
  <si>
    <t>Coût Direct</t>
  </si>
  <si>
    <t>Coût Complet</t>
  </si>
  <si>
    <t>Prix de Vente Cible</t>
  </si>
  <si>
    <t>Prix de Vente Possible</t>
  </si>
  <si>
    <t>Mco</t>
  </si>
  <si>
    <t>Chu FeTi</t>
  </si>
  <si>
    <t>Parité €/$</t>
  </si>
  <si>
    <t>Rebuts Ecotitanium</t>
  </si>
  <si>
    <t>Galettes de refusion</t>
  </si>
  <si>
    <t>Copeaux de mise à blanc du lingot.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</si>
</sst>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_-[$$-409]* #,##0.00_ ;_-[$$-409]* \-#,##0.00\ ;_-[$$-409]* &quot;-&quot;??_ ;_-@_ "/>
    <numFmt numFmtId="166" formatCode="_-* #,##0.00\ [$€-40C]_-;\-* #,##0.00\ [$€-40C]_-;_-* &quot;-&quot;??\ [$€-40C]_-;_-@_-"/>
    <numFmt numFmtId="167" formatCode="* #,##0.00&quot; €/kg&quot;"/>
    <numFmt numFmtId="168" formatCode="* #,##0&quot; k€&quot;"/>
    <numFmt numFmtId="169" formatCode="* #,##0.00&quot; $/kg&quot;"/>
  </numFmts>
  <fonts count="9" x14ac:knownFonts="1">
    <font>
      <sz val="10"/>
      <name val="Arial"/>
    </font>
    <font>
      <sz val="8"/>
      <name val="Arial"/>
      <family val="2"/>
    </font>
    <font>
      <b/>
      <sz val="2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double">
        <color rgb="FFFF8001"/>
      </bottom>
      <diagonal/>
    </border>
    <border>
      <left/>
      <right/>
      <top style="thin">
        <color indexed="64"/>
      </top>
      <bottom style="double">
        <color rgb="FFFF8001"/>
      </bottom>
      <diagonal/>
    </border>
    <border>
      <left/>
      <right style="thin">
        <color indexed="64"/>
      </right>
      <top style="thin">
        <color indexed="64"/>
      </top>
      <bottom style="double">
        <color rgb="FFFF80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3" applyNumberFormat="0" applyFill="0" applyAlignment="0" applyProtection="0"/>
    <xf numFmtId="0" fontId="6" fillId="6" borderId="2" applyNumberFormat="0" applyAlignment="0" applyProtection="0"/>
    <xf numFmtId="0" fontId="7" fillId="5" borderId="4" applyNumberFormat="0" applyAlignment="0" applyProtection="0"/>
    <xf numFmtId="0" fontId="8" fillId="7" borderId="5" applyNumberFormat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1" fontId="0" fillId="0" borderId="0" xfId="0" applyNumberFormat="1"/>
    <xf numFmtId="164" fontId="0" fillId="3" borderId="0" xfId="0" applyNumberFormat="1" applyFill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164" fontId="0" fillId="4" borderId="0" xfId="0" applyNumberFormat="1" applyFill="1" applyAlignment="1">
      <alignment horizontal="center"/>
    </xf>
    <xf numFmtId="0" fontId="0" fillId="2" borderId="0" xfId="0" applyFill="1"/>
    <xf numFmtId="0" fontId="4" fillId="0" borderId="0" xfId="0" applyFon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0" fillId="8" borderId="0" xfId="0" applyFill="1"/>
    <xf numFmtId="164" fontId="0" fillId="0" borderId="0" xfId="0" applyNumberFormat="1" applyFill="1" applyAlignment="1">
      <alignment horizontal="center"/>
    </xf>
    <xf numFmtId="0" fontId="0" fillId="0" borderId="0" xfId="0" applyFill="1"/>
    <xf numFmtId="169" fontId="0" fillId="0" borderId="0" xfId="0" applyNumberFormat="1" applyFill="1"/>
    <xf numFmtId="0" fontId="8" fillId="7" borderId="5" xfId="4"/>
    <xf numFmtId="0" fontId="6" fillId="6" borderId="2" xfId="2"/>
    <xf numFmtId="0" fontId="7" fillId="5" borderId="4" xfId="3"/>
    <xf numFmtId="169" fontId="6" fillId="6" borderId="2" xfId="2" applyNumberFormat="1"/>
    <xf numFmtId="164" fontId="6" fillId="6" borderId="2" xfId="2" applyNumberFormat="1"/>
    <xf numFmtId="167" fontId="6" fillId="6" borderId="2" xfId="2" applyNumberFormat="1"/>
    <xf numFmtId="169" fontId="7" fillId="5" borderId="4" xfId="3" applyNumberFormat="1"/>
    <xf numFmtId="164" fontId="7" fillId="5" borderId="4" xfId="3" applyNumberFormat="1"/>
    <xf numFmtId="167" fontId="7" fillId="5" borderId="4" xfId="3" applyNumberFormat="1"/>
    <xf numFmtId="9" fontId="7" fillId="5" borderId="4" xfId="3" applyNumberFormat="1"/>
    <xf numFmtId="167" fontId="8" fillId="7" borderId="5" xfId="4" applyNumberFormat="1"/>
    <xf numFmtId="169" fontId="8" fillId="7" borderId="5" xfId="4" applyNumberFormat="1"/>
    <xf numFmtId="164" fontId="8" fillId="7" borderId="5" xfId="4" applyNumberFormat="1"/>
    <xf numFmtId="0" fontId="7" fillId="5" borderId="6" xfId="3" applyBorder="1"/>
    <xf numFmtId="169" fontId="7" fillId="5" borderId="6" xfId="3" applyNumberFormat="1" applyBorder="1"/>
    <xf numFmtId="167" fontId="7" fillId="5" borderId="6" xfId="3" applyNumberFormat="1" applyBorder="1"/>
    <xf numFmtId="0" fontId="5" fillId="5" borderId="7" xfId="1" applyFill="1" applyBorder="1"/>
    <xf numFmtId="0" fontId="5" fillId="5" borderId="8" xfId="1" applyFill="1" applyBorder="1"/>
    <xf numFmtId="169" fontId="5" fillId="5" borderId="8" xfId="1" applyNumberFormat="1" applyFill="1" applyBorder="1"/>
    <xf numFmtId="167" fontId="5" fillId="5" borderId="8" xfId="1" applyNumberFormat="1" applyFill="1" applyBorder="1"/>
    <xf numFmtId="9" fontId="5" fillId="5" borderId="9" xfId="1" applyNumberFormat="1" applyFill="1" applyBorder="1"/>
    <xf numFmtId="0" fontId="5" fillId="5" borderId="10" xfId="1" applyFill="1" applyBorder="1"/>
    <xf numFmtId="0" fontId="5" fillId="5" borderId="11" xfId="1" applyFill="1" applyBorder="1"/>
    <xf numFmtId="169" fontId="5" fillId="5" borderId="11" xfId="1" applyNumberFormat="1" applyFill="1" applyBorder="1"/>
    <xf numFmtId="167" fontId="5" fillId="5" borderId="11" xfId="1" applyNumberFormat="1" applyFill="1" applyBorder="1"/>
    <xf numFmtId="9" fontId="5" fillId="5" borderId="12" xfId="1" applyNumberFormat="1" applyFill="1" applyBorder="1"/>
    <xf numFmtId="0" fontId="0" fillId="0" borderId="1" xfId="0" applyBorder="1" applyAlignment="1">
      <alignment vertical="center"/>
    </xf>
  </cellXfs>
  <cellStyles count="5">
    <cellStyle name="Cellule liée" xfId="1" builtinId="24"/>
    <cellStyle name="Entrée" xfId="2" builtinId="20"/>
    <cellStyle name="Normal" xfId="0" builtinId="0"/>
    <cellStyle name="Sortie" xfId="3" builtinId="21"/>
    <cellStyle name="Vérification" xfId="4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topLeftCell="C1" workbookViewId="0">
      <selection activeCell="P40" sqref="P40"/>
    </sheetView>
  </sheetViews>
  <sheetFormatPr baseColWidth="10" defaultRowHeight="12.75" x14ac:dyDescent="0.2"/>
  <cols>
    <col min="2" max="2" width="7.5703125" bestFit="1" customWidth="1"/>
    <col min="3" max="3" width="8.5703125" bestFit="1" customWidth="1"/>
    <col min="4" max="4" width="3.28515625" customWidth="1"/>
    <col min="5" max="5" width="8.5703125" customWidth="1"/>
    <col min="6" max="6" width="7.5703125" bestFit="1" customWidth="1"/>
    <col min="7" max="7" width="8.85546875" customWidth="1"/>
    <col min="8" max="8" width="3.28515625" customWidth="1"/>
    <col min="10" max="10" width="6.5703125" bestFit="1" customWidth="1"/>
    <col min="11" max="11" width="5.85546875" bestFit="1" customWidth="1"/>
    <col min="12" max="12" width="4.28515625" customWidth="1"/>
    <col min="13" max="13" width="14.7109375" customWidth="1"/>
    <col min="14" max="14" width="6.5703125" bestFit="1" customWidth="1"/>
    <col min="15" max="15" width="8.5703125" customWidth="1"/>
    <col min="16" max="16" width="4.140625" customWidth="1"/>
    <col min="17" max="17" width="8.28515625" customWidth="1"/>
    <col min="18" max="18" width="8.5703125" bestFit="1" customWidth="1"/>
    <col min="19" max="19" width="4.7109375" customWidth="1"/>
    <col min="20" max="20" width="8.5703125" customWidth="1"/>
    <col min="21" max="21" width="7.5703125" bestFit="1" customWidth="1"/>
    <col min="22" max="22" width="3.7109375" customWidth="1"/>
    <col min="23" max="23" width="7.7109375" customWidth="1"/>
    <col min="24" max="24" width="7.5703125" bestFit="1" customWidth="1"/>
    <col min="25" max="25" width="3" customWidth="1"/>
    <col min="26" max="26" width="12.85546875" customWidth="1"/>
    <col min="27" max="27" width="8.5703125" bestFit="1" customWidth="1"/>
  </cols>
  <sheetData>
    <row r="1" spans="1:28" ht="26.25" x14ac:dyDescent="0.4">
      <c r="A1" s="9" t="s">
        <v>24</v>
      </c>
    </row>
    <row r="6" spans="1:28" x14ac:dyDescent="0.2">
      <c r="A6" s="10" t="s">
        <v>0</v>
      </c>
      <c r="D6" s="12"/>
      <c r="E6" s="10" t="s">
        <v>7</v>
      </c>
      <c r="H6" s="12"/>
      <c r="I6" s="10" t="s">
        <v>14</v>
      </c>
      <c r="L6" s="12"/>
      <c r="M6" s="10" t="s">
        <v>28</v>
      </c>
      <c r="P6" s="12"/>
      <c r="Q6" s="10" t="s">
        <v>17</v>
      </c>
      <c r="S6" s="12"/>
      <c r="T6" s="10" t="s">
        <v>19</v>
      </c>
      <c r="V6" s="12"/>
      <c r="W6" s="10" t="s">
        <v>20</v>
      </c>
      <c r="Y6" s="12"/>
      <c r="Z6" s="10" t="s">
        <v>21</v>
      </c>
    </row>
    <row r="7" spans="1:28" x14ac:dyDescent="0.2">
      <c r="B7" s="1" t="s">
        <v>3</v>
      </c>
      <c r="C7" s="1" t="s">
        <v>5</v>
      </c>
      <c r="D7" s="12"/>
      <c r="F7" s="1" t="s">
        <v>3</v>
      </c>
      <c r="G7" s="1" t="s">
        <v>5</v>
      </c>
      <c r="H7" s="12"/>
      <c r="J7" s="1" t="s">
        <v>3</v>
      </c>
      <c r="K7" s="1" t="s">
        <v>5</v>
      </c>
      <c r="L7" s="12"/>
      <c r="N7" s="1" t="s">
        <v>3</v>
      </c>
      <c r="O7" s="1" t="s">
        <v>5</v>
      </c>
      <c r="P7" s="12"/>
      <c r="R7" s="1" t="s">
        <v>5</v>
      </c>
      <c r="S7" s="12"/>
      <c r="U7" s="1" t="s">
        <v>5</v>
      </c>
      <c r="V7" s="12"/>
      <c r="X7" s="1" t="s">
        <v>5</v>
      </c>
      <c r="Y7" s="12"/>
      <c r="AA7" s="1" t="s">
        <v>5</v>
      </c>
    </row>
    <row r="8" spans="1:28" x14ac:dyDescent="0.2">
      <c r="A8" t="s">
        <v>1</v>
      </c>
      <c r="B8" s="2">
        <v>880.20399999999995</v>
      </c>
      <c r="C8" s="2">
        <v>880.20399999999995</v>
      </c>
      <c r="D8" s="12"/>
      <c r="E8" t="s">
        <v>1</v>
      </c>
      <c r="F8" s="2">
        <v>1583.1782849236645</v>
      </c>
      <c r="G8" s="2">
        <f>((B8+B14)*(H22+H24)+(F8*H26))*1.4</f>
        <v>3104.4328628135622</v>
      </c>
      <c r="H8" s="12"/>
      <c r="I8" t="s">
        <v>1</v>
      </c>
      <c r="J8" s="2">
        <f>B8+B14-F8</f>
        <v>175.90869832485146</v>
      </c>
      <c r="K8" s="1">
        <v>0</v>
      </c>
      <c r="L8" s="12"/>
      <c r="M8" t="s">
        <v>15</v>
      </c>
      <c r="N8" s="2">
        <v>865.49837901956118</v>
      </c>
      <c r="O8" s="2">
        <v>9952.2871786751148</v>
      </c>
      <c r="P8" s="12"/>
      <c r="Q8" t="s">
        <v>18</v>
      </c>
      <c r="R8" s="2">
        <v>13443.246198979001</v>
      </c>
      <c r="S8" s="12"/>
      <c r="T8" t="s">
        <v>18</v>
      </c>
      <c r="U8" s="2">
        <v>6135.2538286758299</v>
      </c>
      <c r="V8" s="12"/>
      <c r="W8" t="s">
        <v>18</v>
      </c>
      <c r="X8" s="2">
        <v>1212.9755758131398</v>
      </c>
      <c r="Y8" s="12"/>
      <c r="Z8" t="s">
        <v>18</v>
      </c>
      <c r="AA8" s="2">
        <v>78980.809225000005</v>
      </c>
    </row>
    <row r="9" spans="1:28" x14ac:dyDescent="0.2">
      <c r="A9" t="s">
        <v>2</v>
      </c>
      <c r="B9" s="2">
        <v>1186.7625</v>
      </c>
      <c r="C9" s="2">
        <v>712.05749999999989</v>
      </c>
      <c r="D9" s="12"/>
      <c r="E9" t="s">
        <v>2</v>
      </c>
      <c r="F9" s="2">
        <v>1878.8152311545803</v>
      </c>
      <c r="G9" s="2">
        <f>((B9+B15)*(H21+H23)+F9*H25)*1.4</f>
        <v>6851.7029105155825</v>
      </c>
      <c r="H9" s="12"/>
      <c r="I9" t="s">
        <v>2</v>
      </c>
      <c r="J9" s="2">
        <f>B9+B15-F9</f>
        <v>626.27174371819342</v>
      </c>
      <c r="K9" s="1">
        <v>0</v>
      </c>
      <c r="L9" s="12"/>
      <c r="N9" s="1"/>
      <c r="O9" s="1"/>
      <c r="P9" s="12"/>
      <c r="S9" s="12"/>
      <c r="V9" s="12"/>
      <c r="Y9" s="12"/>
    </row>
    <row r="10" spans="1:28" x14ac:dyDescent="0.2">
      <c r="A10" t="s">
        <v>16</v>
      </c>
      <c r="B10" s="2">
        <f>SUM(B8:B9)</f>
        <v>2066.9665</v>
      </c>
      <c r="C10" s="2">
        <f>SUM(C8:C9)</f>
        <v>1592.2614999999998</v>
      </c>
      <c r="D10" s="12"/>
      <c r="E10" t="s">
        <v>16</v>
      </c>
      <c r="F10" s="2">
        <f>SUM(F8:F9)</f>
        <v>3461.9935160782447</v>
      </c>
      <c r="G10" s="2">
        <f>SUM(G8:G9)</f>
        <v>9956.1357733291443</v>
      </c>
      <c r="H10" s="12"/>
      <c r="I10" t="s">
        <v>16</v>
      </c>
      <c r="J10" s="2">
        <f>SUM(J8:J9)</f>
        <v>802.18044204304488</v>
      </c>
      <c r="K10" s="1">
        <v>0</v>
      </c>
      <c r="L10" s="12"/>
      <c r="O10" s="8">
        <f>O8/AA10</f>
        <v>2.4671700817220432</v>
      </c>
      <c r="P10" s="12" t="s">
        <v>27</v>
      </c>
      <c r="R10" s="8">
        <f>R8/AA10</f>
        <v>3.3325781529306564</v>
      </c>
      <c r="S10" s="12" t="s">
        <v>27</v>
      </c>
      <c r="U10" s="8">
        <f>U8/AA10</f>
        <v>1.5209282467565091</v>
      </c>
      <c r="V10" s="12" t="s">
        <v>27</v>
      </c>
      <c r="X10" s="8">
        <f>X8/AA10</f>
        <v>0.3006964124706995</v>
      </c>
      <c r="Y10" s="12" t="s">
        <v>27</v>
      </c>
      <c r="Z10" t="s">
        <v>25</v>
      </c>
      <c r="AA10" s="6">
        <v>4033.8877535871325</v>
      </c>
    </row>
    <row r="11" spans="1:28" x14ac:dyDescent="0.2">
      <c r="D11" s="12"/>
      <c r="H11" s="12"/>
      <c r="J11" s="3"/>
      <c r="L11" s="12"/>
      <c r="P11" s="12"/>
      <c r="S11" s="12"/>
      <c r="V11" s="12"/>
      <c r="Y11" s="12"/>
    </row>
    <row r="12" spans="1:28" x14ac:dyDescent="0.2">
      <c r="A12" s="10" t="s">
        <v>6</v>
      </c>
      <c r="D12" s="12"/>
      <c r="G12" s="8">
        <f>G10/AA10</f>
        <v>2.4681241475982212</v>
      </c>
      <c r="H12" s="12" t="s">
        <v>27</v>
      </c>
      <c r="L12" s="12"/>
      <c r="P12" s="12"/>
      <c r="S12" s="12"/>
      <c r="V12" s="12"/>
      <c r="Y12" s="12"/>
      <c r="AA12" s="8">
        <f>AA8/AA10</f>
        <v>19.579327450241113</v>
      </c>
      <c r="AB12" t="s">
        <v>27</v>
      </c>
    </row>
    <row r="13" spans="1:28" x14ac:dyDescent="0.2">
      <c r="B13" s="1" t="s">
        <v>3</v>
      </c>
      <c r="C13" s="1" t="s">
        <v>5</v>
      </c>
      <c r="D13" s="12"/>
      <c r="H13" s="12"/>
      <c r="L13" s="12"/>
      <c r="P13" s="12"/>
      <c r="S13" s="12"/>
      <c r="V13" s="12"/>
      <c r="Y13" s="12"/>
    </row>
    <row r="14" spans="1:28" x14ac:dyDescent="0.2">
      <c r="A14" t="s">
        <v>1</v>
      </c>
      <c r="B14" s="2">
        <v>878.88298324851587</v>
      </c>
      <c r="C14" s="2">
        <v>10986.037290606448</v>
      </c>
      <c r="D14" s="12"/>
      <c r="H14" s="12"/>
      <c r="L14" s="12"/>
      <c r="P14" s="12"/>
      <c r="S14" s="12"/>
      <c r="V14" s="12"/>
      <c r="Y14" s="12"/>
    </row>
    <row r="15" spans="1:28" x14ac:dyDescent="0.2">
      <c r="A15" t="s">
        <v>2</v>
      </c>
      <c r="B15" s="2">
        <v>1318.3244748727736</v>
      </c>
      <c r="C15" s="2">
        <v>9887.4335615458021</v>
      </c>
      <c r="D15" s="12"/>
      <c r="H15" s="12"/>
      <c r="L15" s="12"/>
      <c r="P15" s="12"/>
      <c r="S15" s="12"/>
      <c r="V15" s="12"/>
      <c r="Y15" s="12"/>
    </row>
    <row r="16" spans="1:28" x14ac:dyDescent="0.2">
      <c r="A16" t="s">
        <v>16</v>
      </c>
      <c r="B16" s="2">
        <f>SUM(B14:B15)</f>
        <v>2197.2074581212896</v>
      </c>
      <c r="C16" s="2">
        <f>SUM(C14:C15)</f>
        <v>20873.470852152248</v>
      </c>
      <c r="D16" s="12"/>
      <c r="H16" s="12"/>
      <c r="L16" s="12"/>
      <c r="P16" s="12"/>
      <c r="S16" s="12"/>
      <c r="V16" s="12"/>
      <c r="Y16" s="12"/>
    </row>
    <row r="17" spans="2:25" x14ac:dyDescent="0.2">
      <c r="D17" s="12"/>
      <c r="H17" s="12"/>
      <c r="L17" s="12"/>
      <c r="P17" s="12"/>
      <c r="S17" s="12"/>
      <c r="V17" s="12"/>
      <c r="Y17" s="12"/>
    </row>
    <row r="18" spans="2:25" x14ac:dyDescent="0.2">
      <c r="B18" s="2">
        <f>B10+B16</f>
        <v>4264.1739581212896</v>
      </c>
      <c r="C18" s="2">
        <f>C10+C16</f>
        <v>22465.732352152248</v>
      </c>
      <c r="D18" s="12"/>
      <c r="H18" s="12"/>
      <c r="L18" s="12"/>
      <c r="P18" s="12"/>
      <c r="S18" s="12"/>
      <c r="V18" s="12"/>
      <c r="Y18" s="12"/>
    </row>
    <row r="19" spans="2:25" x14ac:dyDescent="0.2">
      <c r="D19" s="12"/>
      <c r="H19" s="12"/>
      <c r="L19" s="12"/>
      <c r="P19" s="12"/>
      <c r="S19" s="12"/>
      <c r="V19" s="12"/>
      <c r="Y19" s="12"/>
    </row>
    <row r="20" spans="2:25" x14ac:dyDescent="0.2">
      <c r="C20" s="8">
        <f>C18/AA10</f>
        <v>5.5692507388621832</v>
      </c>
      <c r="D20" s="12" t="s">
        <v>27</v>
      </c>
      <c r="H20" s="12"/>
      <c r="L20" s="12"/>
      <c r="P20" s="12"/>
      <c r="S20" s="12"/>
      <c r="V20" s="12"/>
      <c r="Y20" s="12"/>
    </row>
    <row r="21" spans="2:25" hidden="1" x14ac:dyDescent="0.2">
      <c r="E21" s="48" t="s">
        <v>8</v>
      </c>
      <c r="F21" s="48"/>
      <c r="G21" s="48"/>
      <c r="H21" s="4">
        <v>1.7004146449723441</v>
      </c>
    </row>
    <row r="22" spans="2:25" hidden="1" x14ac:dyDescent="0.2">
      <c r="E22" s="48" t="s">
        <v>9</v>
      </c>
      <c r="F22" s="48"/>
      <c r="G22" s="48"/>
      <c r="H22" s="4">
        <v>1.1255088099999999</v>
      </c>
    </row>
    <row r="23" spans="2:25" hidden="1" x14ac:dyDescent="0.2">
      <c r="E23" s="48" t="s">
        <v>10</v>
      </c>
      <c r="F23" s="48"/>
      <c r="G23" s="48"/>
      <c r="H23" s="5">
        <v>0.11255088099999999</v>
      </c>
    </row>
    <row r="24" spans="2:25" hidden="1" x14ac:dyDescent="0.2">
      <c r="E24" s="48" t="s">
        <v>11</v>
      </c>
      <c r="F24" s="48"/>
      <c r="G24" s="48"/>
      <c r="H24" s="5">
        <v>8.4413160749999994E-2</v>
      </c>
    </row>
    <row r="25" spans="2:25" hidden="1" x14ac:dyDescent="0.2">
      <c r="E25" s="48" t="s">
        <v>12</v>
      </c>
      <c r="F25" s="48"/>
      <c r="G25" s="48"/>
      <c r="H25" s="5">
        <v>0.18758480166666663</v>
      </c>
    </row>
    <row r="26" spans="2:25" hidden="1" x14ac:dyDescent="0.2">
      <c r="E26" s="48" t="s">
        <v>13</v>
      </c>
      <c r="F26" s="48"/>
      <c r="G26" s="48"/>
      <c r="H26" s="5">
        <v>5.6275440499999996E-2</v>
      </c>
    </row>
    <row r="29" spans="2:25" x14ac:dyDescent="0.2">
      <c r="K29" t="s">
        <v>42</v>
      </c>
      <c r="M29" s="3">
        <f>C18+G10+K10+O8+R8+U8</f>
        <v>61952.655331811337</v>
      </c>
      <c r="N29" t="s">
        <v>5</v>
      </c>
    </row>
    <row r="30" spans="2:25" x14ac:dyDescent="0.2">
      <c r="K30" t="s">
        <v>22</v>
      </c>
      <c r="M30" s="3">
        <f>X8+AA8</f>
        <v>80193.78480081314</v>
      </c>
      <c r="N30" t="s">
        <v>5</v>
      </c>
    </row>
    <row r="31" spans="2:25" x14ac:dyDescent="0.2">
      <c r="K31" t="s">
        <v>23</v>
      </c>
      <c r="M31" s="3">
        <f>M30-M29</f>
        <v>18241.129469001804</v>
      </c>
      <c r="N31" t="s">
        <v>5</v>
      </c>
      <c r="Q31" s="11">
        <f>M31/4034</f>
        <v>4.5218466705507696</v>
      </c>
      <c r="R31" t="s">
        <v>4</v>
      </c>
      <c r="T31" s="3">
        <f>Q31*AA10</f>
        <v>18240.621907933499</v>
      </c>
      <c r="U31" t="s">
        <v>5</v>
      </c>
    </row>
    <row r="32" spans="2:25" x14ac:dyDescent="0.2">
      <c r="Q32">
        <f>Q31/1.4</f>
        <v>3.2298904789648355</v>
      </c>
      <c r="T32" s="3">
        <f>T31/1.4</f>
        <v>13029.015648523928</v>
      </c>
      <c r="U32" s="7" t="s">
        <v>26</v>
      </c>
    </row>
    <row r="33" spans="15:17" x14ac:dyDescent="0.2">
      <c r="Q33">
        <f>1.5*1.4</f>
        <v>2.0999999999999996</v>
      </c>
    </row>
    <row r="34" spans="15:17" x14ac:dyDescent="0.2">
      <c r="O34">
        <v>6039</v>
      </c>
      <c r="P34">
        <f>O34/4034</f>
        <v>1.4970252850768468</v>
      </c>
      <c r="Q34">
        <f>P34*1.4</f>
        <v>2.0958353991075853</v>
      </c>
    </row>
  </sheetData>
  <mergeCells count="6">
    <mergeCell ref="E25:G25"/>
    <mergeCell ref="E26:G26"/>
    <mergeCell ref="E21:G21"/>
    <mergeCell ref="E22:G22"/>
    <mergeCell ref="E23:G23"/>
    <mergeCell ref="E24:G24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tabSelected="1" topLeftCell="A13" workbookViewId="0">
      <selection activeCell="O33" sqref="O33"/>
    </sheetView>
  </sheetViews>
  <sheetFormatPr baseColWidth="10" defaultRowHeight="12.75" x14ac:dyDescent="0.2"/>
  <cols>
    <col min="2" max="2" width="8.7109375" bestFit="1" customWidth="1"/>
    <col min="3" max="3" width="8.5703125" bestFit="1" customWidth="1"/>
    <col min="4" max="4" width="3.28515625" customWidth="1"/>
    <col min="5" max="5" width="8.5703125" customWidth="1"/>
    <col min="6" max="6" width="24.5703125" customWidth="1"/>
    <col min="7" max="7" width="9.28515625" customWidth="1"/>
    <col min="8" max="8" width="1.7109375" customWidth="1"/>
    <col min="9" max="9" width="8.85546875" customWidth="1"/>
    <col min="10" max="10" width="2.7109375" customWidth="1"/>
    <col min="11" max="11" width="9.7109375" customWidth="1"/>
    <col min="12" max="12" width="4.28515625" customWidth="1"/>
    <col min="13" max="13" width="10.42578125" customWidth="1"/>
    <col min="14" max="14" width="6.5703125" bestFit="1" customWidth="1"/>
    <col min="15" max="15" width="8.5703125" customWidth="1"/>
    <col min="16" max="16" width="4.140625" customWidth="1"/>
    <col min="17" max="17" width="8.28515625" customWidth="1"/>
    <col min="18" max="18" width="8.5703125" bestFit="1" customWidth="1"/>
    <col min="19" max="19" width="4.7109375" customWidth="1"/>
    <col min="20" max="20" width="8.5703125" customWidth="1"/>
    <col min="21" max="21" width="7.5703125" bestFit="1" customWidth="1"/>
    <col min="22" max="22" width="3.7109375" customWidth="1"/>
    <col min="23" max="24" width="7.7109375" customWidth="1"/>
    <col min="25" max="25" width="7.5703125" bestFit="1" customWidth="1"/>
    <col min="26" max="26" width="3" customWidth="1"/>
    <col min="27" max="27" width="12.85546875" customWidth="1"/>
    <col min="28" max="28" width="8.5703125" bestFit="1" customWidth="1"/>
  </cols>
  <sheetData>
    <row r="1" spans="1:29" ht="26.25" x14ac:dyDescent="0.4">
      <c r="A1" s="9" t="s">
        <v>24</v>
      </c>
    </row>
    <row r="6" spans="1:29" x14ac:dyDescent="0.2">
      <c r="A6" s="10" t="s">
        <v>0</v>
      </c>
      <c r="D6" s="12"/>
      <c r="E6" s="10" t="s">
        <v>7</v>
      </c>
      <c r="H6" s="12"/>
      <c r="I6" s="10" t="s">
        <v>14</v>
      </c>
      <c r="L6" s="12"/>
      <c r="M6" s="10" t="s">
        <v>28</v>
      </c>
      <c r="P6" s="12"/>
      <c r="Q6" s="10" t="s">
        <v>17</v>
      </c>
      <c r="S6" s="12"/>
      <c r="T6" s="10" t="s">
        <v>19</v>
      </c>
      <c r="V6" s="12"/>
      <c r="W6" s="10" t="s">
        <v>20</v>
      </c>
      <c r="X6" s="10"/>
      <c r="Z6" s="12"/>
      <c r="AA6" s="10" t="s">
        <v>21</v>
      </c>
    </row>
    <row r="7" spans="1:29" x14ac:dyDescent="0.2">
      <c r="B7" s="1" t="s">
        <v>3</v>
      </c>
      <c r="C7" s="1" t="s">
        <v>5</v>
      </c>
      <c r="D7" s="12"/>
      <c r="F7" s="1" t="s">
        <v>3</v>
      </c>
      <c r="G7" s="1" t="s">
        <v>5</v>
      </c>
      <c r="H7" s="12"/>
      <c r="J7" s="1" t="s">
        <v>3</v>
      </c>
      <c r="K7" s="1" t="s">
        <v>5</v>
      </c>
      <c r="L7" s="12"/>
      <c r="N7" s="1" t="s">
        <v>3</v>
      </c>
      <c r="O7" s="1" t="s">
        <v>5</v>
      </c>
      <c r="P7" s="12"/>
      <c r="R7" s="1" t="s">
        <v>5</v>
      </c>
      <c r="S7" s="12"/>
      <c r="U7" s="1" t="s">
        <v>5</v>
      </c>
      <c r="V7" s="12"/>
      <c r="X7" t="s">
        <v>3</v>
      </c>
      <c r="Y7" s="1" t="s">
        <v>5</v>
      </c>
      <c r="Z7" s="12"/>
      <c r="AB7" s="1" t="s">
        <v>5</v>
      </c>
    </row>
    <row r="8" spans="1:29" x14ac:dyDescent="0.2">
      <c r="A8" t="s">
        <v>1</v>
      </c>
      <c r="B8" s="2">
        <v>880.20399999999995</v>
      </c>
      <c r="C8" s="2">
        <f>B8*massif</f>
        <v>5017.1628000000001</v>
      </c>
      <c r="D8" s="12"/>
      <c r="E8" t="s">
        <v>1</v>
      </c>
      <c r="F8" s="2">
        <v>1583.1782849236645</v>
      </c>
      <c r="G8" s="2">
        <f>((B8+B14)*(H22+H24)+(F8*H26))*1.4</f>
        <v>3104.4328628135622</v>
      </c>
      <c r="H8" s="12"/>
      <c r="I8" t="s">
        <v>1</v>
      </c>
      <c r="J8" s="2">
        <f>B8+B14-F8</f>
        <v>175.90869832485146</v>
      </c>
      <c r="K8" s="1">
        <v>0</v>
      </c>
      <c r="L8" s="12"/>
      <c r="M8" t="s">
        <v>15</v>
      </c>
      <c r="N8" s="2">
        <v>865.49837901956118</v>
      </c>
      <c r="O8" s="2">
        <v>9952.2871786751148</v>
      </c>
      <c r="P8" s="12"/>
      <c r="Q8" t="s">
        <v>18</v>
      </c>
      <c r="R8" s="2">
        <v>13443.246198979001</v>
      </c>
      <c r="S8" s="12"/>
      <c r="T8" t="s">
        <v>18</v>
      </c>
      <c r="U8" s="2">
        <v>6135.2538286758299</v>
      </c>
      <c r="V8" s="12"/>
      <c r="W8" t="s">
        <v>18</v>
      </c>
      <c r="X8">
        <v>271</v>
      </c>
      <c r="Y8" s="2">
        <f>X8*0.8*chuferro</f>
        <v>585.36</v>
      </c>
      <c r="Z8" s="12"/>
      <c r="AA8" t="s">
        <v>18</v>
      </c>
      <c r="AB8" s="2">
        <v>78980.809225000005</v>
      </c>
    </row>
    <row r="9" spans="1:29" x14ac:dyDescent="0.2">
      <c r="A9" t="s">
        <v>2</v>
      </c>
      <c r="B9" s="2">
        <v>1186.7625</v>
      </c>
      <c r="C9" s="2">
        <f>B9*copeau</f>
        <v>3702.6990000000001</v>
      </c>
      <c r="D9" s="12"/>
      <c r="E9" t="s">
        <v>2</v>
      </c>
      <c r="F9" s="2">
        <v>1878.8152311545803</v>
      </c>
      <c r="G9" s="2">
        <f>((B9+B15)*(H21+H23)+F9*H25)*1.4</f>
        <v>6851.7029105155825</v>
      </c>
      <c r="H9" s="12"/>
      <c r="I9" t="s">
        <v>2</v>
      </c>
      <c r="J9" s="2">
        <f>B9+B15-F9</f>
        <v>626.27174371819342</v>
      </c>
      <c r="K9" s="1">
        <v>0</v>
      </c>
      <c r="L9" s="12"/>
      <c r="N9" s="1"/>
      <c r="O9" s="1"/>
      <c r="P9" s="12"/>
      <c r="S9" s="12"/>
      <c r="V9" s="12"/>
      <c r="Z9" s="12"/>
    </row>
    <row r="10" spans="1:29" x14ac:dyDescent="0.2">
      <c r="A10" t="s">
        <v>16</v>
      </c>
      <c r="B10" s="2">
        <f>SUM(B8:B9)</f>
        <v>2066.9665</v>
      </c>
      <c r="C10" s="2">
        <f>SUM(C8:C9)</f>
        <v>8719.8618000000006</v>
      </c>
      <c r="D10" s="12"/>
      <c r="E10" t="s">
        <v>16</v>
      </c>
      <c r="F10" s="2">
        <f>SUM(F8:F9)</f>
        <v>3461.9935160782447</v>
      </c>
      <c r="G10" s="2">
        <f>SUM(G8:G9)</f>
        <v>9956.1357733291443</v>
      </c>
      <c r="H10" s="12"/>
      <c r="I10" t="s">
        <v>16</v>
      </c>
      <c r="J10" s="2">
        <f>SUM(J8:J9)</f>
        <v>802.18044204304488</v>
      </c>
      <c r="K10">
        <f>J10*0.8*chuferro</f>
        <v>1732.7097548129771</v>
      </c>
      <c r="L10" s="12"/>
      <c r="O10" s="8">
        <f>O8/AB10</f>
        <v>2.4671700817220432</v>
      </c>
      <c r="P10" s="12" t="s">
        <v>27</v>
      </c>
      <c r="R10" s="8">
        <f>R8/AB10</f>
        <v>3.3325781529306564</v>
      </c>
      <c r="S10" s="12" t="s">
        <v>27</v>
      </c>
      <c r="U10" s="8">
        <f>U8/AB10</f>
        <v>1.5209282467565091</v>
      </c>
      <c r="V10" s="12" t="s">
        <v>27</v>
      </c>
      <c r="Y10" s="8">
        <f>-Y8/AB10</f>
        <v>-0.14511063166779217</v>
      </c>
      <c r="Z10" s="12" t="s">
        <v>27</v>
      </c>
      <c r="AA10" t="s">
        <v>25</v>
      </c>
      <c r="AB10" s="6">
        <v>4033.8877535871325</v>
      </c>
    </row>
    <row r="11" spans="1:29" x14ac:dyDescent="0.2">
      <c r="D11" s="12"/>
      <c r="H11" s="12"/>
      <c r="J11" s="3"/>
      <c r="L11" s="12"/>
      <c r="P11" s="12"/>
      <c r="S11" s="12"/>
      <c r="V11" s="12"/>
      <c r="Z11" s="12"/>
    </row>
    <row r="12" spans="1:29" x14ac:dyDescent="0.2">
      <c r="A12" s="10" t="s">
        <v>6</v>
      </c>
      <c r="D12" s="12"/>
      <c r="G12" s="8">
        <f>G10/AB10</f>
        <v>2.4681241475982212</v>
      </c>
      <c r="H12" s="12" t="s">
        <v>27</v>
      </c>
      <c r="K12" s="18">
        <f>-K10/AB10</f>
        <v>-0.42953841570632845</v>
      </c>
      <c r="L12" s="12" t="s">
        <v>27</v>
      </c>
      <c r="P12" s="12"/>
      <c r="S12" s="12"/>
      <c r="V12" s="12"/>
      <c r="Z12" s="12"/>
      <c r="AB12" s="8">
        <f>AB8/AB10</f>
        <v>19.579327450241113</v>
      </c>
      <c r="AC12" t="s">
        <v>27</v>
      </c>
    </row>
    <row r="13" spans="1:29" x14ac:dyDescent="0.2">
      <c r="B13" s="1" t="s">
        <v>3</v>
      </c>
      <c r="C13" s="1" t="s">
        <v>5</v>
      </c>
      <c r="D13" s="12"/>
      <c r="H13" s="12"/>
      <c r="L13" s="12"/>
      <c r="P13" s="12"/>
      <c r="S13" s="12"/>
      <c r="V13" s="12"/>
      <c r="W13" s="13" t="s">
        <v>53</v>
      </c>
      <c r="Z13" s="12"/>
    </row>
    <row r="14" spans="1:29" x14ac:dyDescent="0.2">
      <c r="A14" t="s">
        <v>1</v>
      </c>
      <c r="B14" s="2">
        <v>878.88298324851587</v>
      </c>
      <c r="C14" s="2">
        <f>B14*massif</f>
        <v>5009.6330045165405</v>
      </c>
      <c r="D14" s="12"/>
      <c r="H14" s="12"/>
      <c r="L14" s="12"/>
      <c r="P14" s="12"/>
      <c r="S14" s="12"/>
      <c r="V14" s="12"/>
      <c r="W14" s="13" t="s">
        <v>54</v>
      </c>
      <c r="Z14" s="12"/>
    </row>
    <row r="15" spans="1:29" x14ac:dyDescent="0.2">
      <c r="A15" t="s">
        <v>2</v>
      </c>
      <c r="B15" s="2">
        <v>1318.3244748727736</v>
      </c>
      <c r="C15" s="2">
        <f>B15*copeau</f>
        <v>4113.172361603054</v>
      </c>
      <c r="D15" s="12"/>
      <c r="H15" s="12"/>
      <c r="L15" s="12"/>
      <c r="P15" s="12"/>
      <c r="S15" s="12"/>
      <c r="V15" s="12"/>
      <c r="W15" s="13" t="s">
        <v>55</v>
      </c>
      <c r="Z15" s="12"/>
    </row>
    <row r="16" spans="1:29" x14ac:dyDescent="0.2">
      <c r="A16" t="s">
        <v>16</v>
      </c>
      <c r="B16" s="2">
        <f>SUM(B14:B15)</f>
        <v>2197.2074581212896</v>
      </c>
      <c r="C16" s="2">
        <f>SUM(C14:C15)</f>
        <v>9122.8053661195954</v>
      </c>
      <c r="D16" s="12"/>
      <c r="H16" s="12"/>
      <c r="L16" s="12"/>
      <c r="P16" s="12"/>
      <c r="S16" s="12"/>
      <c r="V16" s="12"/>
      <c r="Z16" s="12"/>
    </row>
    <row r="17" spans="2:26" x14ac:dyDescent="0.2">
      <c r="D17" s="12"/>
      <c r="H17" s="12"/>
      <c r="L17" s="12"/>
      <c r="P17" s="12"/>
      <c r="S17" s="12"/>
      <c r="V17" s="12"/>
      <c r="Z17" s="12"/>
    </row>
    <row r="18" spans="2:26" x14ac:dyDescent="0.2">
      <c r="B18" s="2">
        <f>B10+B16</f>
        <v>4264.1739581212896</v>
      </c>
      <c r="C18" s="2">
        <f>C10+C16</f>
        <v>17842.667166119594</v>
      </c>
      <c r="D18" s="12"/>
      <c r="H18" s="12"/>
      <c r="L18" s="12"/>
      <c r="P18" s="12"/>
      <c r="S18" s="12"/>
      <c r="V18" s="12"/>
      <c r="Z18" s="12"/>
    </row>
    <row r="19" spans="2:26" x14ac:dyDescent="0.2">
      <c r="D19" s="12"/>
      <c r="H19" s="12"/>
      <c r="L19" s="12"/>
      <c r="P19" s="12"/>
      <c r="S19" s="12"/>
      <c r="V19" s="12"/>
      <c r="Z19" s="12"/>
    </row>
    <row r="20" spans="2:26" x14ac:dyDescent="0.2">
      <c r="C20" s="8">
        <f>C18/AB10</f>
        <v>4.4231937664237213</v>
      </c>
      <c r="D20" s="12" t="s">
        <v>27</v>
      </c>
      <c r="H20" s="12"/>
      <c r="L20" s="12"/>
      <c r="P20" s="12"/>
      <c r="S20" s="12"/>
      <c r="V20" s="12"/>
      <c r="Z20" s="12"/>
    </row>
    <row r="21" spans="2:26" hidden="1" x14ac:dyDescent="0.2">
      <c r="E21" s="48" t="s">
        <v>8</v>
      </c>
      <c r="F21" s="48"/>
      <c r="G21" s="48"/>
      <c r="H21" s="4">
        <v>1.7004146449723441</v>
      </c>
    </row>
    <row r="22" spans="2:26" hidden="1" x14ac:dyDescent="0.2">
      <c r="E22" s="48" t="s">
        <v>9</v>
      </c>
      <c r="F22" s="48"/>
      <c r="G22" s="48"/>
      <c r="H22" s="4">
        <v>1.1255088099999999</v>
      </c>
    </row>
    <row r="23" spans="2:26" hidden="1" x14ac:dyDescent="0.2">
      <c r="E23" s="48" t="s">
        <v>10</v>
      </c>
      <c r="F23" s="48"/>
      <c r="G23" s="48"/>
      <c r="H23" s="5">
        <v>0.11255088099999999</v>
      </c>
    </row>
    <row r="24" spans="2:26" hidden="1" x14ac:dyDescent="0.2">
      <c r="E24" s="48" t="s">
        <v>11</v>
      </c>
      <c r="F24" s="48"/>
      <c r="G24" s="48"/>
      <c r="H24" s="5">
        <v>8.4413160749999994E-2</v>
      </c>
    </row>
    <row r="25" spans="2:26" hidden="1" x14ac:dyDescent="0.2">
      <c r="E25" s="48" t="s">
        <v>12</v>
      </c>
      <c r="F25" s="48"/>
      <c r="G25" s="48"/>
      <c r="H25" s="5">
        <v>0.18758480166666663</v>
      </c>
    </row>
    <row r="26" spans="2:26" hidden="1" x14ac:dyDescent="0.2">
      <c r="E26" s="48" t="s">
        <v>13</v>
      </c>
      <c r="F26" s="48"/>
      <c r="G26" s="48"/>
      <c r="H26" s="5">
        <v>5.6275440499999996E-2</v>
      </c>
    </row>
    <row r="29" spans="2:26" x14ac:dyDescent="0.2">
      <c r="M29" s="3"/>
    </row>
    <row r="30" spans="2:26" x14ac:dyDescent="0.2">
      <c r="M30" s="3"/>
    </row>
    <row r="31" spans="2:26" x14ac:dyDescent="0.2">
      <c r="M31" s="3"/>
      <c r="Q31" s="19"/>
      <c r="T31" s="3"/>
    </row>
    <row r="32" spans="2:26" x14ac:dyDescent="0.2">
      <c r="T32" s="3"/>
      <c r="U32" s="7"/>
    </row>
    <row r="35" spans="1:14" x14ac:dyDescent="0.2">
      <c r="A35" t="s">
        <v>1</v>
      </c>
      <c r="B35" s="21">
        <v>5.7</v>
      </c>
      <c r="D35">
        <v>5.65</v>
      </c>
      <c r="F35" s="20"/>
    </row>
    <row r="36" spans="1:14" x14ac:dyDescent="0.2">
      <c r="A36" t="s">
        <v>2</v>
      </c>
      <c r="B36" s="21">
        <v>3.12</v>
      </c>
      <c r="D36">
        <v>3.09</v>
      </c>
      <c r="F36" s="20"/>
    </row>
    <row r="37" spans="1:14" x14ac:dyDescent="0.2">
      <c r="A37" t="s">
        <v>51</v>
      </c>
      <c r="B37" s="21">
        <v>2.7</v>
      </c>
      <c r="F37" s="20"/>
      <c r="G37" t="s">
        <v>27</v>
      </c>
      <c r="I37" t="s">
        <v>44</v>
      </c>
      <c r="K37" t="s">
        <v>27</v>
      </c>
      <c r="M37" t="s">
        <v>44</v>
      </c>
    </row>
    <row r="38" spans="1:14" x14ac:dyDescent="0.2">
      <c r="A38" t="s">
        <v>52</v>
      </c>
      <c r="B38">
        <v>1.4</v>
      </c>
    </row>
    <row r="39" spans="1:14" ht="15" x14ac:dyDescent="0.25">
      <c r="F39" s="23" t="s">
        <v>43</v>
      </c>
      <c r="G39" s="25">
        <f>C20</f>
        <v>4.4231937664237213</v>
      </c>
      <c r="H39" s="23"/>
      <c r="I39" s="23"/>
      <c r="K39" s="28">
        <f t="shared" ref="K39:K45" si="0">IF(G39="",I39*parite,G39)</f>
        <v>4.4231937664237213</v>
      </c>
      <c r="L39" s="29"/>
      <c r="M39" s="30">
        <f t="shared" ref="M39:M45" si="1">IF(I39="",G39/parite,I39)</f>
        <v>3.159424118874087</v>
      </c>
    </row>
    <row r="40" spans="1:14" ht="15" x14ac:dyDescent="0.25">
      <c r="F40" s="23" t="str">
        <f>E6</f>
        <v>Processing</v>
      </c>
      <c r="G40" s="26"/>
      <c r="H40" s="23"/>
      <c r="I40" s="27">
        <v>1.7629458197130152</v>
      </c>
      <c r="K40" s="28">
        <f t="shared" si="0"/>
        <v>2.4681241475982212</v>
      </c>
      <c r="L40" s="29"/>
      <c r="M40" s="30">
        <f t="shared" si="1"/>
        <v>1.7629458197130152</v>
      </c>
    </row>
    <row r="41" spans="1:14" ht="15" x14ac:dyDescent="0.25">
      <c r="F41" s="23" t="str">
        <f>I6</f>
        <v>Vente perte du processing</v>
      </c>
      <c r="G41" s="25">
        <f>K12</f>
        <v>-0.42953841570632845</v>
      </c>
      <c r="H41" s="23"/>
      <c r="I41" s="26"/>
      <c r="K41" s="28">
        <f t="shared" si="0"/>
        <v>-0.42953841570632845</v>
      </c>
      <c r="L41" s="29"/>
      <c r="M41" s="30">
        <f t="shared" si="1"/>
        <v>-0.30681315407594889</v>
      </c>
    </row>
    <row r="42" spans="1:14" ht="15" x14ac:dyDescent="0.25">
      <c r="F42" s="23" t="str">
        <f>M6</f>
        <v>Matières Premières</v>
      </c>
      <c r="G42" s="25">
        <f>O10</f>
        <v>2.4671700817220432</v>
      </c>
      <c r="H42" s="23"/>
      <c r="I42" s="26"/>
      <c r="K42" s="28">
        <f t="shared" si="0"/>
        <v>2.4671700817220432</v>
      </c>
      <c r="L42" s="29"/>
      <c r="M42" s="30">
        <f t="shared" si="1"/>
        <v>1.7622643440871739</v>
      </c>
    </row>
    <row r="43" spans="1:14" ht="15" x14ac:dyDescent="0.25">
      <c r="F43" s="23" t="str">
        <f>Q6</f>
        <v>CD</v>
      </c>
      <c r="G43" s="26"/>
      <c r="H43" s="23"/>
      <c r="I43" s="27">
        <v>2.3804129663790405</v>
      </c>
      <c r="K43" s="28">
        <f t="shared" si="0"/>
        <v>3.3325781529306564</v>
      </c>
      <c r="L43" s="29"/>
      <c r="M43" s="30">
        <f t="shared" si="1"/>
        <v>2.3804129663790405</v>
      </c>
    </row>
    <row r="44" spans="1:14" ht="15" x14ac:dyDescent="0.25">
      <c r="F44" s="23" t="str">
        <f>T6</f>
        <v>FGx</v>
      </c>
      <c r="G44" s="26"/>
      <c r="H44" s="23"/>
      <c r="I44" s="27">
        <v>1.0863773191117923</v>
      </c>
      <c r="K44" s="28">
        <f t="shared" si="0"/>
        <v>1.5209282467565091</v>
      </c>
      <c r="L44" s="29"/>
      <c r="M44" s="30">
        <f t="shared" si="1"/>
        <v>1.0863773191117923</v>
      </c>
    </row>
    <row r="45" spans="1:14" ht="15" x14ac:dyDescent="0.25">
      <c r="F45" s="23" t="str">
        <f>W6</f>
        <v>Vente chutes</v>
      </c>
      <c r="G45" s="25">
        <f>Y10</f>
        <v>-0.14511063166779217</v>
      </c>
      <c r="H45" s="23"/>
      <c r="I45" s="23"/>
      <c r="K45" s="28">
        <f t="shared" si="0"/>
        <v>-0.14511063166779217</v>
      </c>
      <c r="L45" s="29"/>
      <c r="M45" s="30">
        <f t="shared" si="1"/>
        <v>-0.10365045119128014</v>
      </c>
    </row>
    <row r="46" spans="1:14" ht="13.5" thickBot="1" x14ac:dyDescent="0.25">
      <c r="G46" s="21"/>
      <c r="N46" t="s">
        <v>50</v>
      </c>
    </row>
    <row r="47" spans="1:14" ht="16.5" thickTop="1" thickBot="1" x14ac:dyDescent="0.3">
      <c r="F47" s="22" t="s">
        <v>45</v>
      </c>
      <c r="G47" s="22"/>
      <c r="H47" s="22"/>
      <c r="I47" s="32">
        <v>3.23</v>
      </c>
      <c r="J47" s="22"/>
      <c r="K47" s="33">
        <f>IF(G47="",I47*parite,G47)</f>
        <v>4.5219999999999994</v>
      </c>
      <c r="L47" s="34"/>
      <c r="M47" s="32">
        <f>IF(I47="",G47/parite,I47)</f>
        <v>3.23</v>
      </c>
      <c r="N47" s="31"/>
    </row>
    <row r="48" spans="1:14" ht="15.75" thickTop="1" x14ac:dyDescent="0.25">
      <c r="F48" s="24" t="s">
        <v>46</v>
      </c>
      <c r="G48" s="24"/>
      <c r="H48" s="24"/>
      <c r="I48" s="30"/>
      <c r="J48" s="24"/>
      <c r="K48" s="28">
        <f>SUM(K39:K43)+K45</f>
        <v>12.116417101300522</v>
      </c>
      <c r="L48" s="24"/>
      <c r="M48" s="30">
        <f>SUM(M39:M43)+M45</f>
        <v>8.6545836437860881</v>
      </c>
      <c r="N48" s="24"/>
    </row>
    <row r="49" spans="6:14" ht="15" x14ac:dyDescent="0.25">
      <c r="F49" s="35" t="s">
        <v>47</v>
      </c>
      <c r="G49" s="35"/>
      <c r="H49" s="35"/>
      <c r="I49" s="35"/>
      <c r="J49" s="35"/>
      <c r="K49" s="36">
        <f>SUM(K39:K45)</f>
        <v>13.63734534805703</v>
      </c>
      <c r="L49" s="35"/>
      <c r="M49" s="37">
        <f>SUM(M39:M45)</f>
        <v>9.7409609628978799</v>
      </c>
      <c r="N49" s="35"/>
    </row>
    <row r="50" spans="6:14" ht="15.75" thickBot="1" x14ac:dyDescent="0.3">
      <c r="F50" s="38" t="s">
        <v>48</v>
      </c>
      <c r="G50" s="39"/>
      <c r="H50" s="39"/>
      <c r="I50" s="39"/>
      <c r="J50" s="39"/>
      <c r="K50" s="40">
        <f>K49+K47</f>
        <v>18.15934534805703</v>
      </c>
      <c r="L50" s="39"/>
      <c r="M50" s="41">
        <f>M49+M47</f>
        <v>12.97096096289788</v>
      </c>
      <c r="N50" s="42">
        <f>(M50-M48)/M50</f>
        <v>0.33277236216024025</v>
      </c>
    </row>
    <row r="51" spans="6:14" ht="15.75" thickTop="1" x14ac:dyDescent="0.25">
      <c r="F51" s="43" t="s">
        <v>49</v>
      </c>
      <c r="G51" s="44"/>
      <c r="H51" s="44"/>
      <c r="I51" s="44"/>
      <c r="J51" s="44">
        <v>1.2849999999999999</v>
      </c>
      <c r="K51" s="45">
        <f>K49*J51</f>
        <v>17.523988772253283</v>
      </c>
      <c r="L51" s="44"/>
      <c r="M51" s="46">
        <f>M49*J51</f>
        <v>12.517134837323775</v>
      </c>
      <c r="N51" s="47">
        <f>(M51-M48)/M51</f>
        <v>0.30858109653179383</v>
      </c>
    </row>
  </sheetData>
  <mergeCells count="6">
    <mergeCell ref="E26:G26"/>
    <mergeCell ref="E21:G21"/>
    <mergeCell ref="E22:G22"/>
    <mergeCell ref="E23:G23"/>
    <mergeCell ref="E24:G24"/>
    <mergeCell ref="E25:G25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7"/>
  <sheetViews>
    <sheetView workbookViewId="0">
      <selection activeCell="C45" sqref="C45:C46"/>
    </sheetView>
  </sheetViews>
  <sheetFormatPr baseColWidth="10" defaultRowHeight="12.75" x14ac:dyDescent="0.2"/>
  <cols>
    <col min="1" max="1" width="17.140625" customWidth="1"/>
    <col min="12" max="12" width="11.140625" customWidth="1"/>
  </cols>
  <sheetData>
    <row r="2" spans="1:15" x14ac:dyDescent="0.2">
      <c r="A2" s="13" t="s">
        <v>32</v>
      </c>
      <c r="B2">
        <v>1.4</v>
      </c>
    </row>
    <row r="4" spans="1:15" x14ac:dyDescent="0.2">
      <c r="B4">
        <v>2013</v>
      </c>
      <c r="C4">
        <v>2014</v>
      </c>
      <c r="D4">
        <v>2015</v>
      </c>
      <c r="E4">
        <v>2016</v>
      </c>
      <c r="F4">
        <v>2017</v>
      </c>
      <c r="G4">
        <v>2018</v>
      </c>
      <c r="H4">
        <v>2019</v>
      </c>
      <c r="I4">
        <v>2020</v>
      </c>
      <c r="J4">
        <v>2021</v>
      </c>
      <c r="K4">
        <v>2022</v>
      </c>
      <c r="L4">
        <v>2023</v>
      </c>
      <c r="M4">
        <v>2024</v>
      </c>
      <c r="N4">
        <v>2025</v>
      </c>
      <c r="O4">
        <v>2026</v>
      </c>
    </row>
    <row r="5" spans="1:15" x14ac:dyDescent="0.2">
      <c r="A5" s="13" t="s">
        <v>29</v>
      </c>
      <c r="B5">
        <v>50</v>
      </c>
    </row>
    <row r="7" spans="1:15" x14ac:dyDescent="0.2">
      <c r="A7" s="13" t="s">
        <v>30</v>
      </c>
      <c r="E7">
        <v>1162.0749999999998</v>
      </c>
      <c r="F7">
        <v>1813.8999999999999</v>
      </c>
      <c r="G7">
        <v>3266.9</v>
      </c>
      <c r="H7">
        <v>3783.1900000000005</v>
      </c>
      <c r="I7">
        <v>4030.75</v>
      </c>
      <c r="J7">
        <v>4036.8</v>
      </c>
      <c r="K7">
        <v>4036.8</v>
      </c>
      <c r="L7">
        <v>4032.8</v>
      </c>
      <c r="M7">
        <v>4032.8</v>
      </c>
      <c r="N7">
        <v>4032.8</v>
      </c>
      <c r="O7">
        <v>4032.8</v>
      </c>
    </row>
    <row r="9" spans="1:15" x14ac:dyDescent="0.2">
      <c r="A9" s="13" t="s">
        <v>31</v>
      </c>
      <c r="B9" s="13" t="s">
        <v>17</v>
      </c>
      <c r="C9" s="14">
        <v>3.33</v>
      </c>
      <c r="D9" s="15">
        <f>C9/eurodol</f>
        <v>2.3785714285714286</v>
      </c>
      <c r="F9" s="13" t="s">
        <v>33</v>
      </c>
      <c r="G9" s="14">
        <v>4.8540000000000001</v>
      </c>
      <c r="H9" s="15">
        <f>G9/eurodol</f>
        <v>3.4671428571428575</v>
      </c>
      <c r="J9" s="13" t="s">
        <v>34</v>
      </c>
      <c r="L9" s="16">
        <f>D9*2-H9</f>
        <v>1.2899999999999996</v>
      </c>
    </row>
    <row r="11" spans="1:15" x14ac:dyDescent="0.2">
      <c r="A11" s="13" t="s">
        <v>35</v>
      </c>
      <c r="B11" s="17">
        <f>B7*$L$9</f>
        <v>0</v>
      </c>
      <c r="C11" s="17">
        <f t="shared" ref="C11:O11" si="0">C7*$L$9</f>
        <v>0</v>
      </c>
      <c r="D11" s="17">
        <f t="shared" si="0"/>
        <v>0</v>
      </c>
      <c r="E11" s="17">
        <f t="shared" si="0"/>
        <v>1499.0767499999993</v>
      </c>
      <c r="F11" s="17">
        <f t="shared" si="0"/>
        <v>2339.9309999999991</v>
      </c>
      <c r="G11" s="17">
        <f t="shared" si="0"/>
        <v>4214.3009999999986</v>
      </c>
      <c r="H11" s="17">
        <f t="shared" si="0"/>
        <v>4880.3150999999989</v>
      </c>
      <c r="I11" s="17">
        <f t="shared" si="0"/>
        <v>5199.6674999999987</v>
      </c>
      <c r="J11" s="17">
        <f t="shared" si="0"/>
        <v>5207.4719999999988</v>
      </c>
      <c r="K11" s="17">
        <f t="shared" si="0"/>
        <v>5207.4719999999988</v>
      </c>
      <c r="L11" s="17">
        <f t="shared" si="0"/>
        <v>5202.311999999999</v>
      </c>
      <c r="M11" s="17">
        <f t="shared" si="0"/>
        <v>5202.311999999999</v>
      </c>
      <c r="N11" s="17">
        <f t="shared" si="0"/>
        <v>5202.311999999999</v>
      </c>
      <c r="O11" s="17">
        <f t="shared" si="0"/>
        <v>5202.311999999999</v>
      </c>
    </row>
    <row r="12" spans="1:15" x14ac:dyDescent="0.2">
      <c r="A12" s="13" t="s">
        <v>36</v>
      </c>
      <c r="C12" s="17">
        <f>C11+B12</f>
        <v>0</v>
      </c>
      <c r="D12" s="17">
        <f t="shared" ref="D12:O12" si="1">D11+C12</f>
        <v>0</v>
      </c>
      <c r="E12" s="17">
        <f t="shared" si="1"/>
        <v>1499.0767499999993</v>
      </c>
      <c r="F12" s="17">
        <f t="shared" si="1"/>
        <v>3839.0077499999984</v>
      </c>
      <c r="G12" s="17">
        <f t="shared" si="1"/>
        <v>8053.3087499999965</v>
      </c>
      <c r="H12" s="17">
        <f t="shared" si="1"/>
        <v>12933.623849999996</v>
      </c>
      <c r="I12" s="17">
        <f t="shared" si="1"/>
        <v>18133.291349999996</v>
      </c>
      <c r="J12" s="17">
        <f t="shared" si="1"/>
        <v>23340.763349999994</v>
      </c>
      <c r="K12" s="17">
        <f t="shared" si="1"/>
        <v>28548.235349999992</v>
      </c>
      <c r="L12" s="17">
        <f t="shared" si="1"/>
        <v>33750.547349999993</v>
      </c>
      <c r="M12" s="17">
        <f t="shared" si="1"/>
        <v>38952.859349999992</v>
      </c>
      <c r="N12" s="17">
        <f t="shared" si="1"/>
        <v>44155.17134999999</v>
      </c>
      <c r="O12" s="17">
        <f t="shared" si="1"/>
        <v>49357.483349999988</v>
      </c>
    </row>
    <row r="13" spans="1:15" x14ac:dyDescent="0.2">
      <c r="A13" s="13" t="s">
        <v>38</v>
      </c>
      <c r="B13" s="17">
        <f>-$B$5*1000+B12</f>
        <v>-50000</v>
      </c>
      <c r="C13" s="17">
        <f t="shared" ref="C13:O13" si="2">-$B$5*1000+C12</f>
        <v>-50000</v>
      </c>
      <c r="D13" s="17">
        <f t="shared" si="2"/>
        <v>-50000</v>
      </c>
      <c r="E13" s="17">
        <f t="shared" si="2"/>
        <v>-48500.92325</v>
      </c>
      <c r="F13" s="17">
        <f t="shared" si="2"/>
        <v>-46160.992250000003</v>
      </c>
      <c r="G13" s="17">
        <f t="shared" si="2"/>
        <v>-41946.691250000003</v>
      </c>
      <c r="H13" s="17">
        <f t="shared" si="2"/>
        <v>-37066.376150000004</v>
      </c>
      <c r="I13" s="17">
        <f t="shared" si="2"/>
        <v>-31866.708650000004</v>
      </c>
      <c r="J13" s="17">
        <f t="shared" si="2"/>
        <v>-26659.236650000006</v>
      </c>
      <c r="K13" s="17">
        <f t="shared" si="2"/>
        <v>-21451.764650000008</v>
      </c>
      <c r="L13" s="17">
        <f t="shared" si="2"/>
        <v>-16249.452650000007</v>
      </c>
      <c r="M13" s="17">
        <f t="shared" si="2"/>
        <v>-11047.140650000008</v>
      </c>
      <c r="N13" s="17">
        <f t="shared" si="2"/>
        <v>-5844.8286500000104</v>
      </c>
      <c r="O13" s="17">
        <f t="shared" si="2"/>
        <v>-642.51665000001231</v>
      </c>
    </row>
    <row r="14" spans="1:15" x14ac:dyDescent="0.2">
      <c r="I14">
        <f>(H9+L9)*$I$7</f>
        <v>19174.853571428572</v>
      </c>
    </row>
    <row r="15" spans="1:15" x14ac:dyDescent="0.2">
      <c r="A15" s="13" t="s">
        <v>39</v>
      </c>
      <c r="B15" s="13" t="s">
        <v>17</v>
      </c>
      <c r="C15" s="14">
        <v>3.33</v>
      </c>
      <c r="D15" s="15">
        <f>C15/eurodol</f>
        <v>2.3785714285714286</v>
      </c>
      <c r="F15" s="13" t="s">
        <v>33</v>
      </c>
      <c r="G15" s="14">
        <v>4.8540000000000001</v>
      </c>
      <c r="H15" s="15">
        <f>G15/eurodol</f>
        <v>3.4671428571428575</v>
      </c>
      <c r="J15" s="13" t="s">
        <v>37</v>
      </c>
      <c r="L15" s="16">
        <f>H15*0.5</f>
        <v>1.7335714285714288</v>
      </c>
    </row>
    <row r="17" spans="1:15" x14ac:dyDescent="0.2">
      <c r="A17" s="13" t="s">
        <v>35</v>
      </c>
      <c r="B17" s="17">
        <f>B7*$L$15</f>
        <v>0</v>
      </c>
      <c r="C17" s="17">
        <f t="shared" ref="C17:O17" si="3">C7*$L$15</f>
        <v>0</v>
      </c>
      <c r="D17" s="17">
        <f t="shared" si="3"/>
        <v>0</v>
      </c>
      <c r="E17" s="17">
        <f t="shared" si="3"/>
        <v>2014.5400178571429</v>
      </c>
      <c r="F17" s="17">
        <f t="shared" si="3"/>
        <v>3144.5252142857144</v>
      </c>
      <c r="G17" s="17">
        <f t="shared" si="3"/>
        <v>5663.4045000000006</v>
      </c>
      <c r="H17" s="17">
        <f t="shared" si="3"/>
        <v>6558.4300928571447</v>
      </c>
      <c r="I17" s="17">
        <f t="shared" si="3"/>
        <v>6987.5930357142861</v>
      </c>
      <c r="J17" s="17">
        <f t="shared" si="3"/>
        <v>6998.0811428571442</v>
      </c>
      <c r="K17" s="17">
        <f t="shared" si="3"/>
        <v>6998.0811428571442</v>
      </c>
      <c r="L17" s="17">
        <f t="shared" si="3"/>
        <v>6991.1468571428586</v>
      </c>
      <c r="M17" s="17">
        <f t="shared" si="3"/>
        <v>6991.1468571428586</v>
      </c>
      <c r="N17" s="17">
        <f t="shared" si="3"/>
        <v>6991.1468571428586</v>
      </c>
      <c r="O17" s="17">
        <f t="shared" si="3"/>
        <v>6991.1468571428586</v>
      </c>
    </row>
    <row r="18" spans="1:15" x14ac:dyDescent="0.2">
      <c r="A18" s="13" t="s">
        <v>36</v>
      </c>
      <c r="C18" s="17">
        <f>C17+B18</f>
        <v>0</v>
      </c>
      <c r="D18" s="17">
        <f t="shared" ref="D18:O18" si="4">D17+C18</f>
        <v>0</v>
      </c>
      <c r="E18" s="17">
        <f t="shared" si="4"/>
        <v>2014.5400178571429</v>
      </c>
      <c r="F18" s="17">
        <f t="shared" si="4"/>
        <v>5159.065232142857</v>
      </c>
      <c r="G18" s="17">
        <f t="shared" si="4"/>
        <v>10822.469732142858</v>
      </c>
      <c r="H18" s="17">
        <f t="shared" si="4"/>
        <v>17380.899825</v>
      </c>
      <c r="I18" s="17">
        <f t="shared" si="4"/>
        <v>24368.492860714287</v>
      </c>
      <c r="J18" s="17">
        <f t="shared" si="4"/>
        <v>31366.57400357143</v>
      </c>
      <c r="K18" s="17">
        <f t="shared" si="4"/>
        <v>38364.655146428573</v>
      </c>
      <c r="L18" s="17">
        <f t="shared" si="4"/>
        <v>45355.802003571429</v>
      </c>
      <c r="M18" s="17">
        <f t="shared" si="4"/>
        <v>52346.948860714285</v>
      </c>
      <c r="N18" s="17">
        <f t="shared" si="4"/>
        <v>59338.095717857141</v>
      </c>
      <c r="O18" s="17">
        <f t="shared" si="4"/>
        <v>66329.242574999997</v>
      </c>
    </row>
    <row r="19" spans="1:15" x14ac:dyDescent="0.2">
      <c r="A19" s="13" t="s">
        <v>38</v>
      </c>
      <c r="B19" s="17">
        <f>-$B$5*1000+B18</f>
        <v>-50000</v>
      </c>
      <c r="C19" s="17">
        <f t="shared" ref="C19:M19" si="5">-$B$5*1000+C18</f>
        <v>-50000</v>
      </c>
      <c r="D19" s="17">
        <f t="shared" si="5"/>
        <v>-50000</v>
      </c>
      <c r="E19" s="17">
        <f t="shared" si="5"/>
        <v>-47985.459982142856</v>
      </c>
      <c r="F19" s="17">
        <f t="shared" si="5"/>
        <v>-44840.934767857143</v>
      </c>
      <c r="G19" s="17">
        <f t="shared" si="5"/>
        <v>-39177.530267857146</v>
      </c>
      <c r="H19" s="17">
        <f t="shared" si="5"/>
        <v>-32619.100175</v>
      </c>
      <c r="I19" s="17">
        <f t="shared" si="5"/>
        <v>-25631.507139285713</v>
      </c>
      <c r="J19" s="17">
        <f t="shared" si="5"/>
        <v>-18633.42599642857</v>
      </c>
      <c r="K19" s="17">
        <f t="shared" si="5"/>
        <v>-11635.344853571427</v>
      </c>
      <c r="L19" s="17">
        <f t="shared" si="5"/>
        <v>-4644.1979964285711</v>
      </c>
      <c r="M19" s="17">
        <f t="shared" si="5"/>
        <v>2346.9488607142848</v>
      </c>
      <c r="N19" s="17">
        <f>-$B$5*1000+N18</f>
        <v>9338.0957178571407</v>
      </c>
      <c r="O19" s="17">
        <f>-$B$5*1000+O18</f>
        <v>16329.242574999997</v>
      </c>
    </row>
    <row r="20" spans="1:15" x14ac:dyDescent="0.2">
      <c r="I20">
        <f>(H15+L15)*$I$7</f>
        <v>20962.779107142862</v>
      </c>
    </row>
    <row r="22" spans="1:15" x14ac:dyDescent="0.2">
      <c r="A22" s="13" t="s">
        <v>40</v>
      </c>
      <c r="F22" s="13"/>
      <c r="H22" s="15">
        <f>H15</f>
        <v>3.4671428571428575</v>
      </c>
      <c r="J22" s="13" t="s">
        <v>41</v>
      </c>
      <c r="L22" s="16">
        <v>2.2999999999999998</v>
      </c>
    </row>
    <row r="24" spans="1:15" x14ac:dyDescent="0.2">
      <c r="A24" s="13" t="s">
        <v>35</v>
      </c>
      <c r="B24" s="17">
        <f>B7*$L$22</f>
        <v>0</v>
      </c>
      <c r="C24" s="17">
        <f t="shared" ref="C24:O24" si="6">C7*$L$22</f>
        <v>0</v>
      </c>
      <c r="D24" s="17">
        <f t="shared" si="6"/>
        <v>0</v>
      </c>
      <c r="E24" s="17">
        <f t="shared" si="6"/>
        <v>2672.7724999999996</v>
      </c>
      <c r="F24" s="17">
        <f t="shared" si="6"/>
        <v>4171.9699999999993</v>
      </c>
      <c r="G24" s="17">
        <f t="shared" si="6"/>
        <v>7513.87</v>
      </c>
      <c r="H24" s="17">
        <f t="shared" si="6"/>
        <v>8701.3370000000014</v>
      </c>
      <c r="I24" s="17">
        <f t="shared" si="6"/>
        <v>9270.7249999999985</v>
      </c>
      <c r="J24" s="17">
        <f t="shared" si="6"/>
        <v>9284.64</v>
      </c>
      <c r="K24" s="17">
        <f t="shared" si="6"/>
        <v>9284.64</v>
      </c>
      <c r="L24" s="17">
        <f t="shared" si="6"/>
        <v>9275.44</v>
      </c>
      <c r="M24" s="17">
        <f t="shared" si="6"/>
        <v>9275.44</v>
      </c>
      <c r="N24" s="17">
        <f t="shared" si="6"/>
        <v>9275.44</v>
      </c>
      <c r="O24" s="17">
        <f t="shared" si="6"/>
        <v>9275.44</v>
      </c>
    </row>
    <row r="25" spans="1:15" x14ac:dyDescent="0.2">
      <c r="A25" s="13" t="s">
        <v>36</v>
      </c>
      <c r="C25" s="17">
        <f>C24+B25</f>
        <v>0</v>
      </c>
      <c r="D25" s="17">
        <f t="shared" ref="D25:O25" si="7">D24+C25</f>
        <v>0</v>
      </c>
      <c r="E25" s="17">
        <f t="shared" si="7"/>
        <v>2672.7724999999996</v>
      </c>
      <c r="F25" s="17">
        <f t="shared" si="7"/>
        <v>6844.7424999999985</v>
      </c>
      <c r="G25" s="17">
        <f t="shared" si="7"/>
        <v>14358.612499999999</v>
      </c>
      <c r="H25" s="17">
        <f t="shared" si="7"/>
        <v>23059.949500000002</v>
      </c>
      <c r="I25" s="17">
        <f t="shared" si="7"/>
        <v>32330.674500000001</v>
      </c>
      <c r="J25" s="17">
        <f t="shared" si="7"/>
        <v>41615.3145</v>
      </c>
      <c r="K25" s="17">
        <f t="shared" si="7"/>
        <v>50899.9545</v>
      </c>
      <c r="L25" s="17">
        <f t="shared" si="7"/>
        <v>60175.394500000002</v>
      </c>
      <c r="M25" s="17">
        <f t="shared" si="7"/>
        <v>69450.834499999997</v>
      </c>
      <c r="N25" s="17">
        <f t="shared" si="7"/>
        <v>78726.2745</v>
      </c>
      <c r="O25" s="17">
        <f t="shared" si="7"/>
        <v>88001.714500000002</v>
      </c>
    </row>
    <row r="26" spans="1:15" x14ac:dyDescent="0.2">
      <c r="A26" s="13" t="s">
        <v>38</v>
      </c>
      <c r="B26" s="17">
        <f t="shared" ref="B26:O26" si="8">-$B$5*1000+B25</f>
        <v>-50000</v>
      </c>
      <c r="C26" s="17">
        <f t="shared" si="8"/>
        <v>-50000</v>
      </c>
      <c r="D26" s="17">
        <f t="shared" si="8"/>
        <v>-50000</v>
      </c>
      <c r="E26" s="17">
        <f t="shared" si="8"/>
        <v>-47327.227500000001</v>
      </c>
      <c r="F26" s="17">
        <f t="shared" si="8"/>
        <v>-43155.2575</v>
      </c>
      <c r="G26" s="17">
        <f t="shared" si="8"/>
        <v>-35641.387499999997</v>
      </c>
      <c r="H26" s="17">
        <f t="shared" si="8"/>
        <v>-26940.050499999998</v>
      </c>
      <c r="I26" s="17">
        <f t="shared" si="8"/>
        <v>-17669.325499999999</v>
      </c>
      <c r="J26" s="17">
        <f t="shared" si="8"/>
        <v>-8384.6854999999996</v>
      </c>
      <c r="K26" s="17">
        <f t="shared" si="8"/>
        <v>899.95449999999983</v>
      </c>
      <c r="L26" s="17">
        <f t="shared" si="8"/>
        <v>10175.394500000002</v>
      </c>
      <c r="M26" s="17">
        <f t="shared" si="8"/>
        <v>19450.834499999997</v>
      </c>
      <c r="N26" s="17">
        <f t="shared" si="8"/>
        <v>28726.2745</v>
      </c>
      <c r="O26" s="17">
        <f t="shared" si="8"/>
        <v>38001.714500000002</v>
      </c>
    </row>
    <row r="27" spans="1:15" x14ac:dyDescent="0.2">
      <c r="I27">
        <f>(H22+L22)*$I$7</f>
        <v>23245.911071428574</v>
      </c>
    </row>
  </sheetData>
  <phoneticPr fontId="1" type="noConversion"/>
  <pageMargins left="0.25" right="0.25" top="0.75" bottom="0.75" header="0.3" footer="0.3"/>
  <pageSetup paperSize="9" scale="82" fitToHeight="0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Décomposition Coût</vt:lpstr>
      <vt:lpstr>Devis</vt:lpstr>
      <vt:lpstr>Schéma Flux Fi</vt:lpstr>
      <vt:lpstr>Feuil3</vt:lpstr>
      <vt:lpstr>chuferro</vt:lpstr>
      <vt:lpstr>copeau</vt:lpstr>
      <vt:lpstr>eurodol</vt:lpstr>
      <vt:lpstr>massif</vt:lpstr>
      <vt:lpstr>parite</vt:lpstr>
    </vt:vector>
  </TitlesOfParts>
  <Company>Aubert &amp; Duval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 Delaborde</dc:creator>
  <cp:lastModifiedBy>Patrick Delaborde</cp:lastModifiedBy>
  <cp:lastPrinted>2012-10-05T13:38:05Z</cp:lastPrinted>
  <dcterms:created xsi:type="dcterms:W3CDTF">2012-10-05T06:05:43Z</dcterms:created>
  <dcterms:modified xsi:type="dcterms:W3CDTF">2013-01-21T11:06:27Z</dcterms:modified>
</cp:coreProperties>
</file>