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-480" yWindow="1140" windowWidth="18795" windowHeight="9075" firstSheet="9" activeTab="10"/>
  </bookViews>
  <sheets>
    <sheet name="Hypothèses" sheetId="4" r:id="rId1"/>
    <sheet name="Paramétrage" sheetId="11" r:id="rId2"/>
    <sheet name="Marchés et Chutes" sheetId="1" r:id="rId3"/>
    <sheet name="Prix Lingots et Chutes" sheetId="12" r:id="rId4"/>
    <sheet name="Negoce Chutes" sheetId="16" r:id="rId5"/>
    <sheet name="BP" sheetId="2" r:id="rId6"/>
    <sheet name="Lingots" sheetId="7" r:id="rId7"/>
    <sheet name="DP UKAD" sheetId="8" r:id="rId8"/>
    <sheet name="Massifs" sheetId="10" r:id="rId9"/>
    <sheet name="Copeaux" sheetId="17" r:id="rId10"/>
    <sheet name="Transfert" sheetId="19" r:id="rId11"/>
    <sheet name="Vérification Lingots" sheetId="14" r:id="rId12"/>
    <sheet name="Door Frames" sheetId="3" r:id="rId13"/>
    <sheet name="Synt Annuelle Eco TI" sheetId="13" r:id="rId14"/>
    <sheet name="Feuil5" sheetId="15" r:id="rId15"/>
  </sheets>
  <definedNames>
    <definedName name="_xlnm._FilterDatabase" localSheetId="5" hidden="1">BP!$A$2:$AJ$191</definedName>
    <definedName name="_xlnm._FilterDatabase" localSheetId="2" hidden="1">'Marchés et Chutes'!$A$3:$AB$21</definedName>
    <definedName name="base">BP!$A$2:$BC$200</definedName>
    <definedName name="convchutes">Paramétrage!$A$17:$C$19</definedName>
    <definedName name="descmarche">'Marchés et Chutes'!$A$3:$AB$102</definedName>
    <definedName name="negchutes">'Negoce Chutes'!$A$2:$Q$14</definedName>
    <definedName name="pxcopeau">'Prix Lingots et Chutes'!$A$25:$N$31</definedName>
    <definedName name="pxferroti">'Prix Lingots et Chutes'!$A$34:$N$40</definedName>
    <definedName name="pxlingot">'Prix Lingots et Chutes'!$A$3:$N$13</definedName>
    <definedName name="pxmassif">'Prix Lingots et Chutes'!$A$16:$N$22</definedName>
    <definedName name="recupchute">Paramétrage!$A$5:$C$11</definedName>
  </definedNames>
  <calcPr calcId="144525"/>
  <pivotCaches>
    <pivotCache cacheId="171" r:id="rId16"/>
  </pivotCaches>
</workbook>
</file>

<file path=xl/calcChain.xml><?xml version="1.0" encoding="utf-8"?>
<calcChain xmlns="http://schemas.openxmlformats.org/spreadsheetml/2006/main">
  <c r="AR6" i="2" l="1"/>
  <c r="AR7" i="2"/>
  <c r="AP7" i="2" s="1"/>
  <c r="AR8" i="2"/>
  <c r="AR9" i="2"/>
  <c r="AP9" i="2" s="1"/>
  <c r="AR10" i="2"/>
  <c r="AR11" i="2"/>
  <c r="AP11" i="2" s="1"/>
  <c r="AR12" i="2"/>
  <c r="AR13" i="2"/>
  <c r="AP13" i="2" s="1"/>
  <c r="AR14" i="2"/>
  <c r="AR15" i="2"/>
  <c r="AP15" i="2" s="1"/>
  <c r="AR16" i="2"/>
  <c r="AR17" i="2"/>
  <c r="AP17" i="2" s="1"/>
  <c r="AR18" i="2"/>
  <c r="AR19" i="2"/>
  <c r="AP19" i="2" s="1"/>
  <c r="AR20" i="2"/>
  <c r="AR21" i="2"/>
  <c r="AP21" i="2" s="1"/>
  <c r="AR22" i="2"/>
  <c r="AR23" i="2"/>
  <c r="AP23" i="2" s="1"/>
  <c r="AR24" i="2"/>
  <c r="AR25" i="2"/>
  <c r="AP25" i="2" s="1"/>
  <c r="AR26" i="2"/>
  <c r="AR27" i="2"/>
  <c r="AP27" i="2" s="1"/>
  <c r="AR28" i="2"/>
  <c r="AR29" i="2"/>
  <c r="AP29" i="2" s="1"/>
  <c r="AR30" i="2"/>
  <c r="AR31" i="2"/>
  <c r="AP31" i="2" s="1"/>
  <c r="AR32" i="2"/>
  <c r="AR33" i="2"/>
  <c r="AP33" i="2" s="1"/>
  <c r="AR34" i="2"/>
  <c r="AR35" i="2"/>
  <c r="AP35" i="2" s="1"/>
  <c r="AR36" i="2"/>
  <c r="AR37" i="2"/>
  <c r="AP37" i="2" s="1"/>
  <c r="AR38" i="2"/>
  <c r="AR39" i="2"/>
  <c r="AP39" i="2" s="1"/>
  <c r="AR40" i="2"/>
  <c r="AR41" i="2"/>
  <c r="AP41" i="2" s="1"/>
  <c r="AR42" i="2"/>
  <c r="AR43" i="2"/>
  <c r="AP43" i="2" s="1"/>
  <c r="AR44" i="2"/>
  <c r="AR45" i="2"/>
  <c r="AP45" i="2" s="1"/>
  <c r="AR46" i="2"/>
  <c r="AR47" i="2"/>
  <c r="AP47" i="2" s="1"/>
  <c r="AR48" i="2"/>
  <c r="AR49" i="2"/>
  <c r="AP49" i="2" s="1"/>
  <c r="AR50" i="2"/>
  <c r="AR51" i="2"/>
  <c r="AP51" i="2" s="1"/>
  <c r="AR52" i="2"/>
  <c r="AR53" i="2"/>
  <c r="AQ53" i="2" s="1"/>
  <c r="AR54" i="2"/>
  <c r="AR55" i="2"/>
  <c r="AP55" i="2" s="1"/>
  <c r="AR56" i="2"/>
  <c r="AR57" i="2"/>
  <c r="AQ57" i="2" s="1"/>
  <c r="AR58" i="2"/>
  <c r="AR59" i="2"/>
  <c r="AP59" i="2" s="1"/>
  <c r="AR60" i="2"/>
  <c r="AR61" i="2"/>
  <c r="AQ61" i="2" s="1"/>
  <c r="AR62" i="2"/>
  <c r="AR63" i="2"/>
  <c r="AP63" i="2" s="1"/>
  <c r="AR64" i="2"/>
  <c r="AR65" i="2"/>
  <c r="AQ65" i="2" s="1"/>
  <c r="AR66" i="2"/>
  <c r="AR67" i="2"/>
  <c r="AP67" i="2" s="1"/>
  <c r="AR68" i="2"/>
  <c r="AR69" i="2"/>
  <c r="AQ69" i="2" s="1"/>
  <c r="AR70" i="2"/>
  <c r="AR71" i="2"/>
  <c r="AP71" i="2" s="1"/>
  <c r="AR72" i="2"/>
  <c r="AR73" i="2"/>
  <c r="AQ73" i="2" s="1"/>
  <c r="AR74" i="2"/>
  <c r="AR75" i="2"/>
  <c r="AP75" i="2" s="1"/>
  <c r="AR76" i="2"/>
  <c r="AR77" i="2"/>
  <c r="AQ77" i="2" s="1"/>
  <c r="AR78" i="2"/>
  <c r="AR79" i="2"/>
  <c r="AP79" i="2" s="1"/>
  <c r="AR80" i="2"/>
  <c r="AR81" i="2"/>
  <c r="AQ81" i="2" s="1"/>
  <c r="AR82" i="2"/>
  <c r="AR83" i="2"/>
  <c r="AP83" i="2" s="1"/>
  <c r="AR84" i="2"/>
  <c r="AR85" i="2"/>
  <c r="AQ85" i="2" s="1"/>
  <c r="AR86" i="2"/>
  <c r="AR87" i="2"/>
  <c r="AP87" i="2" s="1"/>
  <c r="AR88" i="2"/>
  <c r="AR89" i="2"/>
  <c r="AQ89" i="2" s="1"/>
  <c r="AR90" i="2"/>
  <c r="AR91" i="2"/>
  <c r="AP91" i="2" s="1"/>
  <c r="AR92" i="2"/>
  <c r="AR93" i="2"/>
  <c r="AQ93" i="2" s="1"/>
  <c r="AR94" i="2"/>
  <c r="AR95" i="2"/>
  <c r="AP95" i="2" s="1"/>
  <c r="AR96" i="2"/>
  <c r="AR97" i="2"/>
  <c r="AQ97" i="2" s="1"/>
  <c r="AR98" i="2"/>
  <c r="AR99" i="2"/>
  <c r="AP99" i="2" s="1"/>
  <c r="AR100" i="2"/>
  <c r="AR101" i="2"/>
  <c r="AQ101" i="2" s="1"/>
  <c r="AR102" i="2"/>
  <c r="AR103" i="2"/>
  <c r="AP103" i="2" s="1"/>
  <c r="AR104" i="2"/>
  <c r="AR105" i="2"/>
  <c r="AQ105" i="2" s="1"/>
  <c r="AR106" i="2"/>
  <c r="AR107" i="2"/>
  <c r="AP107" i="2" s="1"/>
  <c r="AR108" i="2"/>
  <c r="AR109" i="2"/>
  <c r="AQ109" i="2" s="1"/>
  <c r="AR110" i="2"/>
  <c r="AR111" i="2"/>
  <c r="AP111" i="2" s="1"/>
  <c r="AR112" i="2"/>
  <c r="AR113" i="2"/>
  <c r="AQ113" i="2" s="1"/>
  <c r="AR114" i="2"/>
  <c r="AR115" i="2"/>
  <c r="AP115" i="2" s="1"/>
  <c r="AR116" i="2"/>
  <c r="AR117" i="2"/>
  <c r="AQ117" i="2" s="1"/>
  <c r="AR118" i="2"/>
  <c r="AR119" i="2"/>
  <c r="AP119" i="2" s="1"/>
  <c r="AR120" i="2"/>
  <c r="AR121" i="2"/>
  <c r="AQ121" i="2" s="1"/>
  <c r="AR122" i="2"/>
  <c r="AR123" i="2"/>
  <c r="AP123" i="2" s="1"/>
  <c r="AR124" i="2"/>
  <c r="AR125" i="2"/>
  <c r="AQ125" i="2" s="1"/>
  <c r="AR126" i="2"/>
  <c r="AR127" i="2"/>
  <c r="AP127" i="2" s="1"/>
  <c r="AR128" i="2"/>
  <c r="AR129" i="2"/>
  <c r="AQ129" i="2" s="1"/>
  <c r="AR130" i="2"/>
  <c r="AR131" i="2"/>
  <c r="AP131" i="2" s="1"/>
  <c r="AR132" i="2"/>
  <c r="AR133" i="2"/>
  <c r="AQ133" i="2" s="1"/>
  <c r="AR134" i="2"/>
  <c r="AR135" i="2"/>
  <c r="AP135" i="2" s="1"/>
  <c r="AR136" i="2"/>
  <c r="AR137" i="2"/>
  <c r="AQ137" i="2" s="1"/>
  <c r="AR138" i="2"/>
  <c r="AR139" i="2"/>
  <c r="AP139" i="2" s="1"/>
  <c r="AR140" i="2"/>
  <c r="AR141" i="2"/>
  <c r="AQ141" i="2" s="1"/>
  <c r="AR142" i="2"/>
  <c r="AR143" i="2"/>
  <c r="AP143" i="2" s="1"/>
  <c r="AR144" i="2"/>
  <c r="AR145" i="2"/>
  <c r="AQ145" i="2" s="1"/>
  <c r="AR146" i="2"/>
  <c r="AR147" i="2"/>
  <c r="AP147" i="2" s="1"/>
  <c r="AR148" i="2"/>
  <c r="AR149" i="2"/>
  <c r="AQ149" i="2" s="1"/>
  <c r="AR150" i="2"/>
  <c r="AR151" i="2"/>
  <c r="AP151" i="2" s="1"/>
  <c r="AR152" i="2"/>
  <c r="AR153" i="2"/>
  <c r="AQ153" i="2" s="1"/>
  <c r="AR154" i="2"/>
  <c r="AR155" i="2"/>
  <c r="AP155" i="2" s="1"/>
  <c r="AR156" i="2"/>
  <c r="AR157" i="2"/>
  <c r="AQ157" i="2" s="1"/>
  <c r="AR158" i="2"/>
  <c r="AR159" i="2"/>
  <c r="AP159" i="2" s="1"/>
  <c r="AR160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4" i="2"/>
  <c r="AR5" i="2"/>
  <c r="AR3" i="2"/>
  <c r="F12" i="16"/>
  <c r="G12" i="16"/>
  <c r="H12" i="16"/>
  <c r="I12" i="16"/>
  <c r="J12" i="16"/>
  <c r="K12" i="16"/>
  <c r="L12" i="16"/>
  <c r="M12" i="16"/>
  <c r="N12" i="16"/>
  <c r="O12" i="16"/>
  <c r="P12" i="16"/>
  <c r="Q12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E14" i="16"/>
  <c r="E12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E10" i="16"/>
  <c r="F8" i="16"/>
  <c r="G8" i="16"/>
  <c r="H8" i="16"/>
  <c r="I8" i="16"/>
  <c r="J8" i="16"/>
  <c r="K8" i="16"/>
  <c r="L8" i="16"/>
  <c r="M8" i="16"/>
  <c r="N8" i="16"/>
  <c r="O8" i="16"/>
  <c r="P8" i="16"/>
  <c r="Q8" i="16"/>
  <c r="E8" i="16"/>
  <c r="F6" i="16"/>
  <c r="G6" i="16"/>
  <c r="H6" i="16"/>
  <c r="I6" i="16"/>
  <c r="J6" i="16"/>
  <c r="K6" i="16"/>
  <c r="L6" i="16"/>
  <c r="M6" i="16"/>
  <c r="N6" i="16"/>
  <c r="O6" i="16"/>
  <c r="P6" i="16"/>
  <c r="Q6" i="16"/>
  <c r="E6" i="16"/>
  <c r="F4" i="16"/>
  <c r="G4" i="16"/>
  <c r="H4" i="16"/>
  <c r="I4" i="16"/>
  <c r="J4" i="16"/>
  <c r="K4" i="16"/>
  <c r="L4" i="16"/>
  <c r="M4" i="16"/>
  <c r="N4" i="16"/>
  <c r="O4" i="16"/>
  <c r="P4" i="16"/>
  <c r="Q4" i="16"/>
  <c r="E4" i="16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V192" i="2" s="1"/>
  <c r="AM193" i="2"/>
  <c r="AM194" i="2"/>
  <c r="AM195" i="2"/>
  <c r="AM196" i="2"/>
  <c r="AM197" i="2"/>
  <c r="AM198" i="2"/>
  <c r="AM199" i="2"/>
  <c r="AM200" i="2"/>
  <c r="AM3" i="2"/>
  <c r="A14" i="16"/>
  <c r="Q13" i="16"/>
  <c r="A13" i="16"/>
  <c r="A12" i="16"/>
  <c r="A11" i="16"/>
  <c r="A10" i="16"/>
  <c r="A9" i="16"/>
  <c r="A4" i="16"/>
  <c r="A5" i="16"/>
  <c r="A6" i="16"/>
  <c r="A7" i="16"/>
  <c r="A8" i="16"/>
  <c r="A3" i="16"/>
  <c r="J10" i="12"/>
  <c r="K10" i="12" s="1"/>
  <c r="J8" i="12"/>
  <c r="K8" i="12" s="1"/>
  <c r="D5" i="12"/>
  <c r="E5" i="12" s="1"/>
  <c r="C200" i="2"/>
  <c r="C199" i="2"/>
  <c r="C198" i="2"/>
  <c r="C197" i="2"/>
  <c r="C196" i="2"/>
  <c r="C195" i="2"/>
  <c r="C194" i="2"/>
  <c r="C193" i="2"/>
  <c r="C192" i="2"/>
  <c r="H36" i="13"/>
  <c r="I36" i="13"/>
  <c r="I37" i="13"/>
  <c r="I39" i="13"/>
  <c r="I40" i="13"/>
  <c r="J36" i="13"/>
  <c r="H37" i="13"/>
  <c r="J37" i="13"/>
  <c r="H38" i="13"/>
  <c r="I38" i="13"/>
  <c r="J38" i="13"/>
  <c r="H39" i="13"/>
  <c r="H40" i="13"/>
  <c r="J39" i="13"/>
  <c r="J40" i="13"/>
  <c r="C36" i="13"/>
  <c r="D36" i="13"/>
  <c r="D37" i="13"/>
  <c r="D39" i="13"/>
  <c r="D40" i="13"/>
  <c r="E36" i="13"/>
  <c r="F36" i="13"/>
  <c r="F37" i="13"/>
  <c r="F39" i="13"/>
  <c r="F40" i="13"/>
  <c r="G36" i="13"/>
  <c r="C37" i="13"/>
  <c r="E37" i="13"/>
  <c r="G37" i="13"/>
  <c r="C38" i="13"/>
  <c r="D38" i="13"/>
  <c r="E38" i="13"/>
  <c r="F38" i="13"/>
  <c r="G38" i="13"/>
  <c r="C39" i="13"/>
  <c r="C40" i="13"/>
  <c r="E39" i="13"/>
  <c r="E40" i="13"/>
  <c r="G39" i="13"/>
  <c r="G40" i="13"/>
  <c r="B40" i="13"/>
  <c r="B39" i="13"/>
  <c r="B38" i="13"/>
  <c r="B37" i="13"/>
  <c r="B36" i="13"/>
  <c r="AL3" i="2"/>
  <c r="C10" i="12"/>
  <c r="D10" i="12"/>
  <c r="E10" i="12"/>
  <c r="F10" i="12"/>
  <c r="G10" i="12"/>
  <c r="H10" i="12"/>
  <c r="I10" i="1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B37" i="12"/>
  <c r="B38" i="12" s="1"/>
  <c r="B28" i="12"/>
  <c r="B19" i="12"/>
  <c r="C8" i="12"/>
  <c r="D8" i="12"/>
  <c r="E8" i="12"/>
  <c r="F8" i="12"/>
  <c r="G8" i="12"/>
  <c r="H8" i="12"/>
  <c r="I8" i="12"/>
  <c r="C13" i="12"/>
  <c r="D13" i="12"/>
  <c r="E13" i="12"/>
  <c r="F13" i="12"/>
  <c r="G13" i="12"/>
  <c r="H13" i="12"/>
  <c r="I13" i="12"/>
  <c r="N13" i="12"/>
  <c r="C6" i="12"/>
  <c r="S14" i="1"/>
  <c r="S4" i="1"/>
  <c r="Y17" i="1"/>
  <c r="Y9" i="1"/>
  <c r="X9" i="1"/>
  <c r="P16" i="1"/>
  <c r="O16" i="1"/>
  <c r="K16" i="1"/>
  <c r="M16" i="1"/>
  <c r="Y16" i="1" s="1"/>
  <c r="A16" i="1"/>
  <c r="Y5" i="1"/>
  <c r="X10" i="1"/>
  <c r="Y10" i="1"/>
  <c r="X17" i="1"/>
  <c r="Z17" i="1" s="1"/>
  <c r="AA17" i="1" s="1"/>
  <c r="X19" i="1"/>
  <c r="Y19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3" i="2"/>
  <c r="A5" i="1"/>
  <c r="K12" i="1"/>
  <c r="A12" i="1"/>
  <c r="K21" i="1"/>
  <c r="A21" i="1"/>
  <c r="K20" i="1"/>
  <c r="K19" i="1"/>
  <c r="K18" i="1"/>
  <c r="X18" i="1"/>
  <c r="K17" i="1"/>
  <c r="P15" i="1"/>
  <c r="O15" i="1"/>
  <c r="K15" i="1"/>
  <c r="L15" i="1"/>
  <c r="X15" i="1" s="1"/>
  <c r="M15" i="1"/>
  <c r="Y15" i="1" s="1"/>
  <c r="Z15" i="1" s="1"/>
  <c r="P14" i="1"/>
  <c r="O14" i="1"/>
  <c r="K14" i="1"/>
  <c r="L14" i="1"/>
  <c r="X14" i="1" s="1"/>
  <c r="M14" i="1"/>
  <c r="Y14" i="1" s="1"/>
  <c r="F5" i="3"/>
  <c r="G2" i="3"/>
  <c r="G5" i="3"/>
  <c r="H2" i="3"/>
  <c r="H5" i="3"/>
  <c r="E5" i="3"/>
  <c r="K13" i="1"/>
  <c r="M13" i="1" s="1"/>
  <c r="Y13" i="1" s="1"/>
  <c r="A14" i="1"/>
  <c r="A15" i="1"/>
  <c r="A17" i="1"/>
  <c r="A18" i="1"/>
  <c r="A19" i="1"/>
  <c r="A20" i="1"/>
  <c r="A13" i="1"/>
  <c r="K11" i="1"/>
  <c r="L11" i="1"/>
  <c r="X11" i="1" s="1"/>
  <c r="A11" i="1"/>
  <c r="A6" i="1"/>
  <c r="A7" i="1"/>
  <c r="A8" i="1"/>
  <c r="A9" i="1"/>
  <c r="A10" i="1"/>
  <c r="A4" i="1"/>
  <c r="K10" i="1"/>
  <c r="K9" i="1"/>
  <c r="K8" i="1"/>
  <c r="L8" i="1" s="1"/>
  <c r="X8" i="1"/>
  <c r="K7" i="1"/>
  <c r="L7" i="1"/>
  <c r="X7" i="1" s="1"/>
  <c r="K6" i="1"/>
  <c r="L6" i="1" s="1"/>
  <c r="X6" i="1"/>
  <c r="K5" i="1"/>
  <c r="L5" i="1"/>
  <c r="X5" i="1" s="1"/>
  <c r="Z5" i="1" s="1"/>
  <c r="AK17" i="2" s="1"/>
  <c r="P4" i="1"/>
  <c r="O4" i="1"/>
  <c r="K4" i="1"/>
  <c r="M4" i="1" s="1"/>
  <c r="Y4" i="1"/>
  <c r="C3" i="3"/>
  <c r="G3" i="3"/>
  <c r="E3" i="3"/>
  <c r="F3" i="3"/>
  <c r="H3" i="3"/>
  <c r="D3" i="3"/>
  <c r="J13" i="12"/>
  <c r="K13" i="12"/>
  <c r="L13" i="12"/>
  <c r="M13" i="12"/>
  <c r="C28" i="12"/>
  <c r="R190" i="2"/>
  <c r="R174" i="2"/>
  <c r="R166" i="2"/>
  <c r="R158" i="2"/>
  <c r="R178" i="2"/>
  <c r="AK141" i="2"/>
  <c r="AK140" i="2"/>
  <c r="AK23" i="2"/>
  <c r="AK26" i="2"/>
  <c r="R191" i="2"/>
  <c r="R189" i="2"/>
  <c r="R187" i="2"/>
  <c r="R185" i="2"/>
  <c r="R181" i="2"/>
  <c r="S181" i="2" s="1"/>
  <c r="R179" i="2"/>
  <c r="S179" i="2" s="1"/>
  <c r="R177" i="2"/>
  <c r="X167" i="2"/>
  <c r="Y167" i="2" s="1"/>
  <c r="X165" i="2"/>
  <c r="Z165" i="2" s="1"/>
  <c r="X163" i="2"/>
  <c r="Z163" i="2" s="1"/>
  <c r="X161" i="2"/>
  <c r="Z161" i="2" s="1"/>
  <c r="X159" i="2"/>
  <c r="R159" i="2"/>
  <c r="X157" i="2"/>
  <c r="R157" i="2"/>
  <c r="X155" i="2"/>
  <c r="R155" i="2"/>
  <c r="X153" i="2"/>
  <c r="R153" i="2"/>
  <c r="R151" i="2"/>
  <c r="S151" i="2" s="1"/>
  <c r="R149" i="2"/>
  <c r="S149" i="2" s="1"/>
  <c r="R147" i="2"/>
  <c r="S147" i="2" s="1"/>
  <c r="R145" i="2"/>
  <c r="X135" i="2"/>
  <c r="Z135" i="2" s="1"/>
  <c r="X133" i="2"/>
  <c r="R133" i="2"/>
  <c r="X131" i="2"/>
  <c r="R131" i="2"/>
  <c r="R129" i="2"/>
  <c r="X125" i="2"/>
  <c r="Z125" i="2" s="1"/>
  <c r="X123" i="2"/>
  <c r="Y123" i="2" s="1"/>
  <c r="X121" i="2"/>
  <c r="R121" i="2"/>
  <c r="R119" i="2"/>
  <c r="X113" i="2"/>
  <c r="Z113" i="2" s="1"/>
  <c r="X111" i="2"/>
  <c r="R111" i="2"/>
  <c r="R109" i="2"/>
  <c r="S109" i="2" s="1"/>
  <c r="R107" i="2"/>
  <c r="R105" i="2"/>
  <c r="X103" i="2"/>
  <c r="Z103" i="2" s="1"/>
  <c r="R103" i="2"/>
  <c r="X101" i="2"/>
  <c r="Z101" i="2" s="1"/>
  <c r="R101" i="2"/>
  <c r="S101" i="2" s="1"/>
  <c r="X99" i="2"/>
  <c r="Y99" i="2" s="1"/>
  <c r="R99" i="2"/>
  <c r="X97" i="2"/>
  <c r="Z97" i="2" s="1"/>
  <c r="R97" i="2"/>
  <c r="X95" i="2"/>
  <c r="Z95" i="2"/>
  <c r="R95" i="2"/>
  <c r="X93" i="2"/>
  <c r="Z93" i="2" s="1"/>
  <c r="R93" i="2"/>
  <c r="S93" i="2" s="1"/>
  <c r="X91" i="2"/>
  <c r="Y91" i="2" s="1"/>
  <c r="R91" i="2"/>
  <c r="X89" i="2"/>
  <c r="Z89" i="2" s="1"/>
  <c r="R89" i="2"/>
  <c r="X87" i="2"/>
  <c r="Z87" i="2" s="1"/>
  <c r="R87" i="2"/>
  <c r="X85" i="2"/>
  <c r="Z85" i="2"/>
  <c r="R85" i="2"/>
  <c r="S85" i="2"/>
  <c r="X83" i="2"/>
  <c r="Y83" i="2"/>
  <c r="R83" i="2"/>
  <c r="X81" i="2"/>
  <c r="Z81" i="2" s="1"/>
  <c r="R81" i="2"/>
  <c r="X79" i="2"/>
  <c r="Z79" i="2" s="1"/>
  <c r="R79" i="2"/>
  <c r="X77" i="2"/>
  <c r="Z77" i="2" s="1"/>
  <c r="R77" i="2"/>
  <c r="S77" i="2" s="1"/>
  <c r="X75" i="2"/>
  <c r="Y75" i="2" s="1"/>
  <c r="R75" i="2"/>
  <c r="X73" i="2"/>
  <c r="Z73" i="2"/>
  <c r="R73" i="2"/>
  <c r="X71" i="2"/>
  <c r="Z71" i="2" s="1"/>
  <c r="R71" i="2"/>
  <c r="X69" i="2"/>
  <c r="Z69" i="2" s="1"/>
  <c r="R69" i="2"/>
  <c r="X67" i="2"/>
  <c r="Z67" i="2" s="1"/>
  <c r="R67" i="2"/>
  <c r="X65" i="2"/>
  <c r="Z65" i="2"/>
  <c r="R65" i="2"/>
  <c r="X63" i="2"/>
  <c r="Y63" i="2" s="1"/>
  <c r="R63" i="2"/>
  <c r="X61" i="2"/>
  <c r="Z61" i="2" s="1"/>
  <c r="R61" i="2"/>
  <c r="X59" i="2"/>
  <c r="Z59" i="2" s="1"/>
  <c r="R59" i="2"/>
  <c r="X57" i="2"/>
  <c r="Z57" i="2"/>
  <c r="R57" i="2"/>
  <c r="X55" i="2"/>
  <c r="Y55" i="2" s="1"/>
  <c r="R55" i="2"/>
  <c r="X53" i="2"/>
  <c r="Z53" i="2" s="1"/>
  <c r="R53" i="2"/>
  <c r="X51" i="2"/>
  <c r="Z51" i="2" s="1"/>
  <c r="R51" i="2"/>
  <c r="X49" i="2"/>
  <c r="Z49" i="2"/>
  <c r="R49" i="2"/>
  <c r="X47" i="2"/>
  <c r="Y47" i="2" s="1"/>
  <c r="R47" i="2"/>
  <c r="X45" i="2"/>
  <c r="Z45" i="2" s="1"/>
  <c r="R45" i="2"/>
  <c r="X43" i="2"/>
  <c r="Z43" i="2" s="1"/>
  <c r="R43" i="2"/>
  <c r="X41" i="2"/>
  <c r="Z41" i="2"/>
  <c r="R41" i="2"/>
  <c r="X39" i="2"/>
  <c r="Z39" i="2" s="1"/>
  <c r="R39" i="2"/>
  <c r="X37" i="2"/>
  <c r="Z37" i="2" s="1"/>
  <c r="R37" i="2"/>
  <c r="X35" i="2"/>
  <c r="Z35" i="2" s="1"/>
  <c r="R35" i="2"/>
  <c r="X33" i="2"/>
  <c r="Z33" i="2"/>
  <c r="R33" i="2"/>
  <c r="X31" i="2"/>
  <c r="Z31" i="2" s="1"/>
  <c r="R31" i="2"/>
  <c r="X29" i="2"/>
  <c r="Z29" i="2" s="1"/>
  <c r="R29" i="2"/>
  <c r="X27" i="2"/>
  <c r="Z27" i="2" s="1"/>
  <c r="R27" i="2"/>
  <c r="X25" i="2"/>
  <c r="Z25" i="2"/>
  <c r="R25" i="2"/>
  <c r="X23" i="2"/>
  <c r="Z23" i="2" s="1"/>
  <c r="R23" i="2"/>
  <c r="X21" i="2"/>
  <c r="Z21" i="2" s="1"/>
  <c r="R21" i="2"/>
  <c r="X19" i="2"/>
  <c r="Z19" i="2" s="1"/>
  <c r="R19" i="2"/>
  <c r="X17" i="2"/>
  <c r="Z17" i="2"/>
  <c r="R17" i="2"/>
  <c r="X15" i="2"/>
  <c r="Z15" i="2" s="1"/>
  <c r="R15" i="2"/>
  <c r="X13" i="2"/>
  <c r="Z13" i="2" s="1"/>
  <c r="R13" i="2"/>
  <c r="X11" i="2"/>
  <c r="Z11" i="2" s="1"/>
  <c r="R11" i="2"/>
  <c r="X9" i="2"/>
  <c r="Z9" i="2"/>
  <c r="R9" i="2"/>
  <c r="X7" i="2"/>
  <c r="Z7" i="2" s="1"/>
  <c r="R7" i="2"/>
  <c r="X5" i="2"/>
  <c r="Z5" i="2" s="1"/>
  <c r="R5" i="2"/>
  <c r="K165" i="2"/>
  <c r="M159" i="2"/>
  <c r="M157" i="2"/>
  <c r="M155" i="2"/>
  <c r="M153" i="2"/>
  <c r="M151" i="2"/>
  <c r="M149" i="2"/>
  <c r="M147" i="2"/>
  <c r="M145" i="2"/>
  <c r="M143" i="2"/>
  <c r="M141" i="2"/>
  <c r="M139" i="2"/>
  <c r="M137" i="2"/>
  <c r="M135" i="2"/>
  <c r="M133" i="2"/>
  <c r="M131" i="2"/>
  <c r="M129" i="2"/>
  <c r="M127" i="2"/>
  <c r="M125" i="2"/>
  <c r="M123" i="2"/>
  <c r="M121" i="2"/>
  <c r="M119" i="2"/>
  <c r="M117" i="2"/>
  <c r="M105" i="2"/>
  <c r="M103" i="2"/>
  <c r="M101" i="2"/>
  <c r="M99" i="2"/>
  <c r="M97" i="2"/>
  <c r="M95" i="2"/>
  <c r="M93" i="2"/>
  <c r="M91" i="2"/>
  <c r="M89" i="2"/>
  <c r="M87" i="2"/>
  <c r="M85" i="2"/>
  <c r="M83" i="2"/>
  <c r="M81" i="2"/>
  <c r="M79" i="2"/>
  <c r="M77" i="2"/>
  <c r="M75" i="2"/>
  <c r="M73" i="2"/>
  <c r="M71" i="2"/>
  <c r="M69" i="2"/>
  <c r="M67" i="2"/>
  <c r="M65" i="2"/>
  <c r="M63" i="2"/>
  <c r="M61" i="2"/>
  <c r="M59" i="2"/>
  <c r="M57" i="2"/>
  <c r="M55" i="2"/>
  <c r="M53" i="2"/>
  <c r="M51" i="2"/>
  <c r="M49" i="2"/>
  <c r="M47" i="2"/>
  <c r="M45" i="2"/>
  <c r="M43" i="2"/>
  <c r="M41" i="2"/>
  <c r="M39" i="2"/>
  <c r="M37" i="2"/>
  <c r="M35" i="2"/>
  <c r="M33" i="2"/>
  <c r="M31" i="2"/>
  <c r="M29" i="2"/>
  <c r="M27" i="2"/>
  <c r="M25" i="2"/>
  <c r="M23" i="2"/>
  <c r="M21" i="2"/>
  <c r="M19" i="2"/>
  <c r="M17" i="2"/>
  <c r="N159" i="2"/>
  <c r="N157" i="2"/>
  <c r="N155" i="2"/>
  <c r="N153" i="2"/>
  <c r="N151" i="2"/>
  <c r="N149" i="2"/>
  <c r="N147" i="2"/>
  <c r="N145" i="2"/>
  <c r="N143" i="2"/>
  <c r="N141" i="2"/>
  <c r="N139" i="2"/>
  <c r="N137" i="2"/>
  <c r="N135" i="2"/>
  <c r="N133" i="2"/>
  <c r="N131" i="2"/>
  <c r="N129" i="2"/>
  <c r="N127" i="2"/>
  <c r="N125" i="2"/>
  <c r="N123" i="2"/>
  <c r="N121" i="2"/>
  <c r="N119" i="2"/>
  <c r="N117" i="2"/>
  <c r="N115" i="2"/>
  <c r="N113" i="2"/>
  <c r="N111" i="2"/>
  <c r="N109" i="2"/>
  <c r="N107" i="2"/>
  <c r="N93" i="2"/>
  <c r="N89" i="2"/>
  <c r="N85" i="2"/>
  <c r="N81" i="2"/>
  <c r="N77" i="2"/>
  <c r="N73" i="2"/>
  <c r="N69" i="2"/>
  <c r="N25" i="2"/>
  <c r="N21" i="2"/>
  <c r="N17" i="2"/>
  <c r="N13" i="2"/>
  <c r="N9" i="2"/>
  <c r="N5" i="2"/>
  <c r="X3" i="2"/>
  <c r="Z3" i="2" s="1"/>
  <c r="T190" i="2"/>
  <c r="X190" i="2"/>
  <c r="X188" i="2"/>
  <c r="Y188" i="2" s="1"/>
  <c r="X186" i="2"/>
  <c r="Y186" i="2" s="1"/>
  <c r="X184" i="2"/>
  <c r="Y184" i="2" s="1"/>
  <c r="X182" i="2"/>
  <c r="X180" i="2"/>
  <c r="Y180" i="2" s="1"/>
  <c r="T178" i="2"/>
  <c r="X178" i="2"/>
  <c r="Y178" i="2" s="1"/>
  <c r="X176" i="2"/>
  <c r="Y176" i="2" s="1"/>
  <c r="T174" i="2"/>
  <c r="X174" i="2"/>
  <c r="Y174" i="2" s="1"/>
  <c r="X172" i="2"/>
  <c r="Z172" i="2" s="1"/>
  <c r="X170" i="2"/>
  <c r="Z170" i="2" s="1"/>
  <c r="X168" i="2"/>
  <c r="Z168" i="2" s="1"/>
  <c r="T166" i="2"/>
  <c r="X166" i="2"/>
  <c r="Z166" i="2" s="1"/>
  <c r="X164" i="2"/>
  <c r="Z164" i="2" s="1"/>
  <c r="X162" i="2"/>
  <c r="Z162" i="2" s="1"/>
  <c r="X160" i="2"/>
  <c r="Z160" i="2" s="1"/>
  <c r="T158" i="2"/>
  <c r="X158" i="2"/>
  <c r="Z158" i="2" s="1"/>
  <c r="X156" i="2"/>
  <c r="Z156" i="2" s="1"/>
  <c r="R154" i="2"/>
  <c r="X154" i="2"/>
  <c r="Y154" i="2" s="1"/>
  <c r="R152" i="2"/>
  <c r="X152" i="2"/>
  <c r="Y152" i="2"/>
  <c r="R150" i="2"/>
  <c r="X150" i="2"/>
  <c r="Y150" i="2" s="1"/>
  <c r="R148" i="2"/>
  <c r="X148" i="2"/>
  <c r="Y148" i="2" s="1"/>
  <c r="R146" i="2"/>
  <c r="X146" i="2"/>
  <c r="Y146" i="2" s="1"/>
  <c r="R144" i="2"/>
  <c r="X144" i="2"/>
  <c r="Y144" i="2"/>
  <c r="R142" i="2"/>
  <c r="X142" i="2"/>
  <c r="Y142" i="2" s="1"/>
  <c r="R140" i="2"/>
  <c r="X140" i="2"/>
  <c r="Y140" i="2" s="1"/>
  <c r="R138" i="2"/>
  <c r="X138" i="2"/>
  <c r="Y138" i="2" s="1"/>
  <c r="R136" i="2"/>
  <c r="S136" i="2" s="1"/>
  <c r="X136" i="2"/>
  <c r="Y136" i="2" s="1"/>
  <c r="R134" i="2"/>
  <c r="S134" i="2" s="1"/>
  <c r="X134" i="2"/>
  <c r="Y134" i="2" s="1"/>
  <c r="R132" i="2"/>
  <c r="S132" i="2" s="1"/>
  <c r="X132" i="2"/>
  <c r="Y132" i="2" s="1"/>
  <c r="R130" i="2"/>
  <c r="S130" i="2" s="1"/>
  <c r="X130" i="2"/>
  <c r="Y130" i="2" s="1"/>
  <c r="R128" i="2"/>
  <c r="S128" i="2" s="1"/>
  <c r="X128" i="2"/>
  <c r="Y128" i="2" s="1"/>
  <c r="R126" i="2"/>
  <c r="S126" i="2" s="1"/>
  <c r="X126" i="2"/>
  <c r="Y126" i="2" s="1"/>
  <c r="R124" i="2"/>
  <c r="S124" i="2" s="1"/>
  <c r="X124" i="2"/>
  <c r="Y124" i="2" s="1"/>
  <c r="R122" i="2"/>
  <c r="S122" i="2" s="1"/>
  <c r="X122" i="2"/>
  <c r="Y122" i="2" s="1"/>
  <c r="R120" i="2"/>
  <c r="S120" i="2" s="1"/>
  <c r="X120" i="2"/>
  <c r="Y120" i="2" s="1"/>
  <c r="R118" i="2"/>
  <c r="S118" i="2" s="1"/>
  <c r="X118" i="2"/>
  <c r="Y118" i="2" s="1"/>
  <c r="R116" i="2"/>
  <c r="S116" i="2" s="1"/>
  <c r="X116" i="2"/>
  <c r="Y116" i="2" s="1"/>
  <c r="R114" i="2"/>
  <c r="S114" i="2" s="1"/>
  <c r="X114" i="2"/>
  <c r="Y114" i="2" s="1"/>
  <c r="R112" i="2"/>
  <c r="S112" i="2" s="1"/>
  <c r="X112" i="2"/>
  <c r="Y112" i="2" s="1"/>
  <c r="R110" i="2"/>
  <c r="S110" i="2" s="1"/>
  <c r="X110" i="2"/>
  <c r="Y110" i="2" s="1"/>
  <c r="R108" i="2"/>
  <c r="S108" i="2" s="1"/>
  <c r="X108" i="2"/>
  <c r="Y108" i="2" s="1"/>
  <c r="R106" i="2"/>
  <c r="S106" i="2" s="1"/>
  <c r="X106" i="2"/>
  <c r="Y106" i="2" s="1"/>
  <c r="R104" i="2"/>
  <c r="S104" i="2" s="1"/>
  <c r="X104" i="2"/>
  <c r="Y104" i="2" s="1"/>
  <c r="R102" i="2"/>
  <c r="S102" i="2" s="1"/>
  <c r="X102" i="2"/>
  <c r="Y102" i="2" s="1"/>
  <c r="R100" i="2"/>
  <c r="S100" i="2" s="1"/>
  <c r="X100" i="2"/>
  <c r="Y100" i="2" s="1"/>
  <c r="R98" i="2"/>
  <c r="S98" i="2" s="1"/>
  <c r="X98" i="2"/>
  <c r="Y98" i="2" s="1"/>
  <c r="R96" i="2"/>
  <c r="S96" i="2" s="1"/>
  <c r="X96" i="2"/>
  <c r="Y96" i="2" s="1"/>
  <c r="R94" i="2"/>
  <c r="S94" i="2" s="1"/>
  <c r="X94" i="2"/>
  <c r="Y94" i="2" s="1"/>
  <c r="R92" i="2"/>
  <c r="S92" i="2" s="1"/>
  <c r="X92" i="2"/>
  <c r="Y92" i="2" s="1"/>
  <c r="N92" i="2"/>
  <c r="R90" i="2"/>
  <c r="S90" i="2"/>
  <c r="X90" i="2"/>
  <c r="Y90" i="2"/>
  <c r="N90" i="2"/>
  <c r="R88" i="2"/>
  <c r="S88" i="2" s="1"/>
  <c r="AD88" i="2" s="1"/>
  <c r="X88" i="2"/>
  <c r="Y88" i="2" s="1"/>
  <c r="N88" i="2"/>
  <c r="R86" i="2"/>
  <c r="S86" i="2"/>
  <c r="X86" i="2"/>
  <c r="Y86" i="2"/>
  <c r="N86" i="2"/>
  <c r="R84" i="2"/>
  <c r="S84" i="2" s="1"/>
  <c r="AD84" i="2" s="1"/>
  <c r="X84" i="2"/>
  <c r="Y84" i="2" s="1"/>
  <c r="N84" i="2"/>
  <c r="R82" i="2"/>
  <c r="S82" i="2"/>
  <c r="X82" i="2"/>
  <c r="Y82" i="2"/>
  <c r="N82" i="2"/>
  <c r="R80" i="2"/>
  <c r="S80" i="2" s="1"/>
  <c r="X80" i="2"/>
  <c r="Y80" i="2" s="1"/>
  <c r="N80" i="2"/>
  <c r="R78" i="2"/>
  <c r="S78" i="2"/>
  <c r="X78" i="2"/>
  <c r="Y78" i="2"/>
  <c r="N78" i="2"/>
  <c r="R76" i="2"/>
  <c r="S76" i="2" s="1"/>
  <c r="AD76" i="2" s="1"/>
  <c r="X76" i="2"/>
  <c r="Y76" i="2" s="1"/>
  <c r="N76" i="2"/>
  <c r="R74" i="2"/>
  <c r="S74" i="2"/>
  <c r="X74" i="2"/>
  <c r="Y74" i="2"/>
  <c r="N74" i="2"/>
  <c r="R72" i="2"/>
  <c r="S72" i="2" s="1"/>
  <c r="AD72" i="2" s="1"/>
  <c r="X72" i="2"/>
  <c r="Y72" i="2" s="1"/>
  <c r="N72" i="2"/>
  <c r="R70" i="2"/>
  <c r="X70" i="2"/>
  <c r="Y70" i="2" s="1"/>
  <c r="N70" i="2"/>
  <c r="R68" i="2"/>
  <c r="S68" i="2" s="1"/>
  <c r="X68" i="2"/>
  <c r="Y68" i="2" s="1"/>
  <c r="N68" i="2"/>
  <c r="R66" i="2"/>
  <c r="X66" i="2"/>
  <c r="Y66" i="2" s="1"/>
  <c r="R64" i="2"/>
  <c r="X64" i="2"/>
  <c r="Y64" i="2" s="1"/>
  <c r="R62" i="2"/>
  <c r="X62" i="2"/>
  <c r="Y62" i="2"/>
  <c r="R60" i="2"/>
  <c r="S60" i="2"/>
  <c r="X60" i="2"/>
  <c r="Y60" i="2"/>
  <c r="R58" i="2"/>
  <c r="X58" i="2"/>
  <c r="Y58" i="2" s="1"/>
  <c r="R56" i="2"/>
  <c r="X56" i="2"/>
  <c r="Y56" i="2" s="1"/>
  <c r="R54" i="2"/>
  <c r="X54" i="2"/>
  <c r="Y54" i="2"/>
  <c r="R52" i="2"/>
  <c r="S52" i="2"/>
  <c r="X52" i="2"/>
  <c r="Y52" i="2"/>
  <c r="R50" i="2"/>
  <c r="X50" i="2"/>
  <c r="Y50" i="2" s="1"/>
  <c r="R48" i="2"/>
  <c r="X48" i="2"/>
  <c r="Y48" i="2" s="1"/>
  <c r="R46" i="2"/>
  <c r="X46" i="2"/>
  <c r="Y46" i="2" s="1"/>
  <c r="R44" i="2"/>
  <c r="S44" i="2" s="1"/>
  <c r="AD44" i="2" s="1"/>
  <c r="X44" i="2"/>
  <c r="Y44" i="2" s="1"/>
  <c r="R42" i="2"/>
  <c r="X42" i="2"/>
  <c r="Y42" i="2"/>
  <c r="R40" i="2"/>
  <c r="X40" i="2"/>
  <c r="Y40" i="2" s="1"/>
  <c r="R38" i="2"/>
  <c r="X38" i="2"/>
  <c r="Y38" i="2" s="1"/>
  <c r="R36" i="2"/>
  <c r="S36" i="2" s="1"/>
  <c r="X36" i="2"/>
  <c r="Y36" i="2" s="1"/>
  <c r="R34" i="2"/>
  <c r="X34" i="2"/>
  <c r="Y34" i="2" s="1"/>
  <c r="R32" i="2"/>
  <c r="X32" i="2"/>
  <c r="Y32" i="2"/>
  <c r="R30" i="2"/>
  <c r="X30" i="2"/>
  <c r="Y30" i="2" s="1"/>
  <c r="R28" i="2"/>
  <c r="S28" i="2" s="1"/>
  <c r="X28" i="2"/>
  <c r="Y28" i="2" s="1"/>
  <c r="N28" i="2"/>
  <c r="R26" i="2"/>
  <c r="X26" i="2"/>
  <c r="Y26" i="2" s="1"/>
  <c r="N26" i="2"/>
  <c r="R24" i="2"/>
  <c r="X24" i="2"/>
  <c r="Y24" i="2" s="1"/>
  <c r="N24" i="2"/>
  <c r="R22" i="2"/>
  <c r="X22" i="2"/>
  <c r="Y22" i="2" s="1"/>
  <c r="N22" i="2"/>
  <c r="R20" i="2"/>
  <c r="S20" i="2" s="1"/>
  <c r="X20" i="2"/>
  <c r="Y20" i="2" s="1"/>
  <c r="N20" i="2"/>
  <c r="R18" i="2"/>
  <c r="X18" i="2"/>
  <c r="Y18" i="2" s="1"/>
  <c r="N18" i="2"/>
  <c r="R16" i="2"/>
  <c r="X16" i="2"/>
  <c r="Y16" i="2" s="1"/>
  <c r="N16" i="2"/>
  <c r="R14" i="2"/>
  <c r="X14" i="2"/>
  <c r="Y14" i="2" s="1"/>
  <c r="N14" i="2"/>
  <c r="R12" i="2"/>
  <c r="S12" i="2"/>
  <c r="X12" i="2"/>
  <c r="Y12" i="2" s="1"/>
  <c r="N12" i="2"/>
  <c r="R10" i="2"/>
  <c r="X10" i="2"/>
  <c r="Y10" i="2" s="1"/>
  <c r="N10" i="2"/>
  <c r="R8" i="2"/>
  <c r="X8" i="2"/>
  <c r="Y8" i="2" s="1"/>
  <c r="N8" i="2"/>
  <c r="R6" i="2"/>
  <c r="X6" i="2"/>
  <c r="Y6" i="2" s="1"/>
  <c r="N6" i="2"/>
  <c r="R4" i="2"/>
  <c r="S4" i="2"/>
  <c r="X4" i="2"/>
  <c r="Y4" i="2"/>
  <c r="N4" i="2"/>
  <c r="M160" i="2"/>
  <c r="M158" i="2"/>
  <c r="M156" i="2"/>
  <c r="M154" i="2"/>
  <c r="M152" i="2"/>
  <c r="M150" i="2"/>
  <c r="M148" i="2"/>
  <c r="M146" i="2"/>
  <c r="M144" i="2"/>
  <c r="M142" i="2"/>
  <c r="M140" i="2"/>
  <c r="M138" i="2"/>
  <c r="M136" i="2"/>
  <c r="M134" i="2"/>
  <c r="M132" i="2"/>
  <c r="M130" i="2"/>
  <c r="M128" i="2"/>
  <c r="M126" i="2"/>
  <c r="M124" i="2"/>
  <c r="M122" i="2"/>
  <c r="M120" i="2"/>
  <c r="M118" i="2"/>
  <c r="M116" i="2"/>
  <c r="M106" i="2"/>
  <c r="M104" i="2"/>
  <c r="M102" i="2"/>
  <c r="M100" i="2"/>
  <c r="M98" i="2"/>
  <c r="M96" i="2"/>
  <c r="M94" i="2"/>
  <c r="M92" i="2"/>
  <c r="M90" i="2"/>
  <c r="M88" i="2"/>
  <c r="M86" i="2"/>
  <c r="M84" i="2"/>
  <c r="M82" i="2"/>
  <c r="M80" i="2"/>
  <c r="M78" i="2"/>
  <c r="M76" i="2"/>
  <c r="M74" i="2"/>
  <c r="M72" i="2"/>
  <c r="M70" i="2"/>
  <c r="M68" i="2"/>
  <c r="M66" i="2"/>
  <c r="M64" i="2"/>
  <c r="M62" i="2"/>
  <c r="M60" i="2"/>
  <c r="M58" i="2"/>
  <c r="M56" i="2"/>
  <c r="M54" i="2"/>
  <c r="M52" i="2"/>
  <c r="M50" i="2"/>
  <c r="M48" i="2"/>
  <c r="M46" i="2"/>
  <c r="M44" i="2"/>
  <c r="M42" i="2"/>
  <c r="M40" i="2"/>
  <c r="M38" i="2"/>
  <c r="M36" i="2"/>
  <c r="M34" i="2"/>
  <c r="M32" i="2"/>
  <c r="M30" i="2"/>
  <c r="M28" i="2"/>
  <c r="M26" i="2"/>
  <c r="M24" i="2"/>
  <c r="M22" i="2"/>
  <c r="M20" i="2"/>
  <c r="M18" i="2"/>
  <c r="M16" i="2"/>
  <c r="N3" i="2"/>
  <c r="N160" i="2"/>
  <c r="N158" i="2"/>
  <c r="N156" i="2"/>
  <c r="N154" i="2"/>
  <c r="N152" i="2"/>
  <c r="N150" i="2"/>
  <c r="N148" i="2"/>
  <c r="N146" i="2"/>
  <c r="N144" i="2"/>
  <c r="N142" i="2"/>
  <c r="N140" i="2"/>
  <c r="N138" i="2"/>
  <c r="N136" i="2"/>
  <c r="N134" i="2"/>
  <c r="N132" i="2"/>
  <c r="N130" i="2"/>
  <c r="N128" i="2"/>
  <c r="N126" i="2"/>
  <c r="N124" i="2"/>
  <c r="N122" i="2"/>
  <c r="N120" i="2"/>
  <c r="N118" i="2"/>
  <c r="N116" i="2"/>
  <c r="N114" i="2"/>
  <c r="N112" i="2"/>
  <c r="N110" i="2"/>
  <c r="N108" i="2"/>
  <c r="N91" i="2"/>
  <c r="N87" i="2"/>
  <c r="N83" i="2"/>
  <c r="N79" i="2"/>
  <c r="N75" i="2"/>
  <c r="N71" i="2"/>
  <c r="N27" i="2"/>
  <c r="N23" i="2"/>
  <c r="N19" i="2"/>
  <c r="N15" i="2"/>
  <c r="N11" i="2"/>
  <c r="N7" i="2"/>
  <c r="R3" i="2"/>
  <c r="T3" i="2" s="1"/>
  <c r="AJ3" i="2" s="1"/>
  <c r="R188" i="2"/>
  <c r="R184" i="2"/>
  <c r="R180" i="2"/>
  <c r="R176" i="2"/>
  <c r="R172" i="2"/>
  <c r="R168" i="2"/>
  <c r="R164" i="2"/>
  <c r="R160" i="2"/>
  <c r="R156" i="2"/>
  <c r="D6" i="12"/>
  <c r="Z14" i="1"/>
  <c r="AA14" i="1" s="1"/>
  <c r="Z19" i="1"/>
  <c r="AA19" i="1" s="1"/>
  <c r="Z10" i="1"/>
  <c r="AA10" i="1" s="1"/>
  <c r="Z9" i="1"/>
  <c r="AA9" i="1" s="1"/>
  <c r="L16" i="1"/>
  <c r="X16" i="1" s="1"/>
  <c r="Z16" i="1" s="1"/>
  <c r="AK192" i="2" s="1"/>
  <c r="M6" i="1"/>
  <c r="N38" i="2" s="1"/>
  <c r="M8" i="1"/>
  <c r="G124" i="2"/>
  <c r="M11" i="1"/>
  <c r="G118" i="2"/>
  <c r="G120" i="2"/>
  <c r="G122" i="2"/>
  <c r="L4" i="1"/>
  <c r="M7" i="1"/>
  <c r="N43" i="2" s="1"/>
  <c r="AA4" i="2"/>
  <c r="AA6" i="2"/>
  <c r="AA8" i="2"/>
  <c r="AA10" i="2"/>
  <c r="AA12" i="2"/>
  <c r="AA14" i="2"/>
  <c r="AA16" i="2"/>
  <c r="AA18" i="2"/>
  <c r="AA20" i="2"/>
  <c r="AA22" i="2"/>
  <c r="AA24" i="2"/>
  <c r="AA26" i="2"/>
  <c r="AA28" i="2"/>
  <c r="AA30" i="2"/>
  <c r="AA32" i="2"/>
  <c r="AA34" i="2"/>
  <c r="AA36" i="2"/>
  <c r="AA38" i="2"/>
  <c r="AA40" i="2"/>
  <c r="AA42" i="2"/>
  <c r="AA44" i="2"/>
  <c r="AA46" i="2"/>
  <c r="AA48" i="2"/>
  <c r="AA50" i="2"/>
  <c r="AA52" i="2"/>
  <c r="AA54" i="2"/>
  <c r="AA56" i="2"/>
  <c r="AA58" i="2"/>
  <c r="AA60" i="2"/>
  <c r="AA62" i="2"/>
  <c r="AA64" i="2"/>
  <c r="AA66" i="2"/>
  <c r="AA68" i="2"/>
  <c r="AA70" i="2"/>
  <c r="AA72" i="2"/>
  <c r="AA74" i="2"/>
  <c r="AA76" i="2"/>
  <c r="AA78" i="2"/>
  <c r="AA80" i="2"/>
  <c r="AA82" i="2"/>
  <c r="AA84" i="2"/>
  <c r="AA86" i="2"/>
  <c r="AA88" i="2"/>
  <c r="AA90" i="2"/>
  <c r="AA92" i="2"/>
  <c r="AA94" i="2"/>
  <c r="AA96" i="2"/>
  <c r="AA98" i="2"/>
  <c r="AA100" i="2"/>
  <c r="AA102" i="2"/>
  <c r="AA104" i="2"/>
  <c r="AA106" i="2"/>
  <c r="AA108" i="2"/>
  <c r="AA110" i="2"/>
  <c r="AA112" i="2"/>
  <c r="AA114" i="2"/>
  <c r="AA116" i="2"/>
  <c r="AA118" i="2"/>
  <c r="AA120" i="2"/>
  <c r="AA122" i="2"/>
  <c r="AA124" i="2"/>
  <c r="AA126" i="2"/>
  <c r="AA128" i="2"/>
  <c r="AA130" i="2"/>
  <c r="AA132" i="2"/>
  <c r="AA134" i="2"/>
  <c r="AA136" i="2"/>
  <c r="AA138" i="2"/>
  <c r="AA140" i="2"/>
  <c r="AA142" i="2"/>
  <c r="AA144" i="2"/>
  <c r="AA146" i="2"/>
  <c r="AA148" i="2"/>
  <c r="AA150" i="2"/>
  <c r="AA152" i="2"/>
  <c r="AA154" i="2"/>
  <c r="AA156" i="2"/>
  <c r="AA158" i="2"/>
  <c r="AA160" i="2"/>
  <c r="AA162" i="2"/>
  <c r="AA164" i="2"/>
  <c r="AA166" i="2"/>
  <c r="AA168" i="2"/>
  <c r="AA170" i="2"/>
  <c r="AA172" i="2"/>
  <c r="AA174" i="2"/>
  <c r="AA176" i="2"/>
  <c r="AA178" i="2"/>
  <c r="AA180" i="2"/>
  <c r="AA182" i="2"/>
  <c r="AA184" i="2"/>
  <c r="AA186" i="2"/>
  <c r="AA188" i="2"/>
  <c r="AA190" i="2"/>
  <c r="AA3" i="2"/>
  <c r="I4" i="2"/>
  <c r="K4" i="2"/>
  <c r="O4" i="2"/>
  <c r="H5" i="2"/>
  <c r="J5" i="2"/>
  <c r="L5" i="2"/>
  <c r="U5" i="2"/>
  <c r="I6" i="2"/>
  <c r="K6" i="2"/>
  <c r="O6" i="2"/>
  <c r="H7" i="2"/>
  <c r="J7" i="2"/>
  <c r="L7" i="2"/>
  <c r="U7" i="2"/>
  <c r="I8" i="2"/>
  <c r="K8" i="2"/>
  <c r="O8" i="2"/>
  <c r="H9" i="2"/>
  <c r="J9" i="2"/>
  <c r="L9" i="2"/>
  <c r="U9" i="2"/>
  <c r="I10" i="2"/>
  <c r="K10" i="2"/>
  <c r="O10" i="2"/>
  <c r="H11" i="2"/>
  <c r="J11" i="2"/>
  <c r="L11" i="2"/>
  <c r="U11" i="2"/>
  <c r="I12" i="2"/>
  <c r="K12" i="2"/>
  <c r="O12" i="2"/>
  <c r="H13" i="2"/>
  <c r="J13" i="2"/>
  <c r="L13" i="2"/>
  <c r="U13" i="2"/>
  <c r="I14" i="2"/>
  <c r="K14" i="2"/>
  <c r="O14" i="2"/>
  <c r="H15" i="2"/>
  <c r="J15" i="2"/>
  <c r="L15" i="2"/>
  <c r="U15" i="2"/>
  <c r="H16" i="2"/>
  <c r="J16" i="2"/>
  <c r="L16" i="2"/>
  <c r="U16" i="2"/>
  <c r="I17" i="2"/>
  <c r="K17" i="2"/>
  <c r="O17" i="2"/>
  <c r="H18" i="2"/>
  <c r="J18" i="2"/>
  <c r="L18" i="2"/>
  <c r="U18" i="2"/>
  <c r="I19" i="2"/>
  <c r="K19" i="2"/>
  <c r="O19" i="2"/>
  <c r="H20" i="2"/>
  <c r="J20" i="2"/>
  <c r="L20" i="2"/>
  <c r="U20" i="2"/>
  <c r="I21" i="2"/>
  <c r="K21" i="2"/>
  <c r="O21" i="2"/>
  <c r="H22" i="2"/>
  <c r="J22" i="2"/>
  <c r="L22" i="2"/>
  <c r="U22" i="2"/>
  <c r="I23" i="2"/>
  <c r="K23" i="2"/>
  <c r="O23" i="2"/>
  <c r="H24" i="2"/>
  <c r="J24" i="2"/>
  <c r="L24" i="2"/>
  <c r="U24" i="2"/>
  <c r="I25" i="2"/>
  <c r="K25" i="2"/>
  <c r="O25" i="2"/>
  <c r="H26" i="2"/>
  <c r="J26" i="2"/>
  <c r="L26" i="2"/>
  <c r="U26" i="2"/>
  <c r="I27" i="2"/>
  <c r="K27" i="2"/>
  <c r="O27" i="2"/>
  <c r="H28" i="2"/>
  <c r="J28" i="2"/>
  <c r="L28" i="2"/>
  <c r="U28" i="2"/>
  <c r="I29" i="2"/>
  <c r="K29" i="2"/>
  <c r="O29" i="2"/>
  <c r="H30" i="2"/>
  <c r="J30" i="2"/>
  <c r="L30" i="2"/>
  <c r="U30" i="2"/>
  <c r="I31" i="2"/>
  <c r="K31" i="2"/>
  <c r="O31" i="2"/>
  <c r="H32" i="2"/>
  <c r="J32" i="2"/>
  <c r="L32" i="2"/>
  <c r="U32" i="2"/>
  <c r="I33" i="2"/>
  <c r="K33" i="2"/>
  <c r="O33" i="2"/>
  <c r="H34" i="2"/>
  <c r="J34" i="2"/>
  <c r="L34" i="2"/>
  <c r="U34" i="2"/>
  <c r="I35" i="2"/>
  <c r="K35" i="2"/>
  <c r="O35" i="2"/>
  <c r="H36" i="2"/>
  <c r="J36" i="2"/>
  <c r="L36" i="2"/>
  <c r="U36" i="2"/>
  <c r="I37" i="2"/>
  <c r="K37" i="2"/>
  <c r="O37" i="2"/>
  <c r="H38" i="2"/>
  <c r="J38" i="2"/>
  <c r="L38" i="2"/>
  <c r="U38" i="2"/>
  <c r="I39" i="2"/>
  <c r="K39" i="2"/>
  <c r="O39" i="2"/>
  <c r="H40" i="2"/>
  <c r="J40" i="2"/>
  <c r="L40" i="2"/>
  <c r="U40" i="2"/>
  <c r="I41" i="2"/>
  <c r="K41" i="2"/>
  <c r="O41" i="2"/>
  <c r="H42" i="2"/>
  <c r="J42" i="2"/>
  <c r="L42" i="2"/>
  <c r="U42" i="2"/>
  <c r="I43" i="2"/>
  <c r="K43" i="2"/>
  <c r="O43" i="2"/>
  <c r="H44" i="2"/>
  <c r="J44" i="2"/>
  <c r="L44" i="2"/>
  <c r="U44" i="2"/>
  <c r="I45" i="2"/>
  <c r="K45" i="2"/>
  <c r="O45" i="2"/>
  <c r="H46" i="2"/>
  <c r="J46" i="2"/>
  <c r="L46" i="2"/>
  <c r="U46" i="2"/>
  <c r="I47" i="2"/>
  <c r="K47" i="2"/>
  <c r="O47" i="2"/>
  <c r="H48" i="2"/>
  <c r="J48" i="2"/>
  <c r="L48" i="2"/>
  <c r="U48" i="2"/>
  <c r="I49" i="2"/>
  <c r="K49" i="2"/>
  <c r="O49" i="2"/>
  <c r="H50" i="2"/>
  <c r="J50" i="2"/>
  <c r="L50" i="2"/>
  <c r="U50" i="2"/>
  <c r="I51" i="2"/>
  <c r="K51" i="2"/>
  <c r="O51" i="2"/>
  <c r="H52" i="2"/>
  <c r="J52" i="2"/>
  <c r="L52" i="2"/>
  <c r="U52" i="2"/>
  <c r="I53" i="2"/>
  <c r="K53" i="2"/>
  <c r="O53" i="2"/>
  <c r="H54" i="2"/>
  <c r="J54" i="2"/>
  <c r="L54" i="2"/>
  <c r="U54" i="2"/>
  <c r="I55" i="2"/>
  <c r="K55" i="2"/>
  <c r="O55" i="2"/>
  <c r="H56" i="2"/>
  <c r="J56" i="2"/>
  <c r="L56" i="2"/>
  <c r="U56" i="2"/>
  <c r="I57" i="2"/>
  <c r="K57" i="2"/>
  <c r="O57" i="2"/>
  <c r="H58" i="2"/>
  <c r="J58" i="2"/>
  <c r="L58" i="2"/>
  <c r="U58" i="2"/>
  <c r="I59" i="2"/>
  <c r="K59" i="2"/>
  <c r="O59" i="2"/>
  <c r="H60" i="2"/>
  <c r="J60" i="2"/>
  <c r="L60" i="2"/>
  <c r="U60" i="2"/>
  <c r="I61" i="2"/>
  <c r="K61" i="2"/>
  <c r="O61" i="2"/>
  <c r="H62" i="2"/>
  <c r="J62" i="2"/>
  <c r="L62" i="2"/>
  <c r="U62" i="2"/>
  <c r="I63" i="2"/>
  <c r="K63" i="2"/>
  <c r="O63" i="2"/>
  <c r="H64" i="2"/>
  <c r="J64" i="2"/>
  <c r="L64" i="2"/>
  <c r="U64" i="2"/>
  <c r="I65" i="2"/>
  <c r="K65" i="2"/>
  <c r="O65" i="2"/>
  <c r="H66" i="2"/>
  <c r="J66" i="2"/>
  <c r="L66" i="2"/>
  <c r="U66" i="2"/>
  <c r="I67" i="2"/>
  <c r="K67" i="2"/>
  <c r="O67" i="2"/>
  <c r="H68" i="2"/>
  <c r="J68" i="2"/>
  <c r="L68" i="2"/>
  <c r="U68" i="2"/>
  <c r="I69" i="2"/>
  <c r="K69" i="2"/>
  <c r="O69" i="2"/>
  <c r="H70" i="2"/>
  <c r="J70" i="2"/>
  <c r="L70" i="2"/>
  <c r="U70" i="2"/>
  <c r="I71" i="2"/>
  <c r="K71" i="2"/>
  <c r="O71" i="2"/>
  <c r="H72" i="2"/>
  <c r="J72" i="2"/>
  <c r="L72" i="2"/>
  <c r="U72" i="2"/>
  <c r="I73" i="2"/>
  <c r="K73" i="2"/>
  <c r="O73" i="2"/>
  <c r="H74" i="2"/>
  <c r="J74" i="2"/>
  <c r="L74" i="2"/>
  <c r="U74" i="2"/>
  <c r="I75" i="2"/>
  <c r="K75" i="2"/>
  <c r="O75" i="2"/>
  <c r="H76" i="2"/>
  <c r="J76" i="2"/>
  <c r="L76" i="2"/>
  <c r="U76" i="2"/>
  <c r="I77" i="2"/>
  <c r="K77" i="2"/>
  <c r="O77" i="2"/>
  <c r="H78" i="2"/>
  <c r="J78" i="2"/>
  <c r="L78" i="2"/>
  <c r="U78" i="2"/>
  <c r="I79" i="2"/>
  <c r="K79" i="2"/>
  <c r="O79" i="2"/>
  <c r="H80" i="2"/>
  <c r="J80" i="2"/>
  <c r="L80" i="2"/>
  <c r="U80" i="2"/>
  <c r="I81" i="2"/>
  <c r="K81" i="2"/>
  <c r="O81" i="2"/>
  <c r="H82" i="2"/>
  <c r="J82" i="2"/>
  <c r="L82" i="2"/>
  <c r="U82" i="2"/>
  <c r="I83" i="2"/>
  <c r="K83" i="2"/>
  <c r="O83" i="2"/>
  <c r="H84" i="2"/>
  <c r="J84" i="2"/>
  <c r="L84" i="2"/>
  <c r="U84" i="2"/>
  <c r="I85" i="2"/>
  <c r="K85" i="2"/>
  <c r="O85" i="2"/>
  <c r="H86" i="2"/>
  <c r="J86" i="2"/>
  <c r="L86" i="2"/>
  <c r="U86" i="2"/>
  <c r="I87" i="2"/>
  <c r="K87" i="2"/>
  <c r="O87" i="2"/>
  <c r="H88" i="2"/>
  <c r="J88" i="2"/>
  <c r="L88" i="2"/>
  <c r="U88" i="2"/>
  <c r="I89" i="2"/>
  <c r="K89" i="2"/>
  <c r="O89" i="2"/>
  <c r="H90" i="2"/>
  <c r="J90" i="2"/>
  <c r="L90" i="2"/>
  <c r="U90" i="2"/>
  <c r="I91" i="2"/>
  <c r="K91" i="2"/>
  <c r="O91" i="2"/>
  <c r="H92" i="2"/>
  <c r="J92" i="2"/>
  <c r="L92" i="2"/>
  <c r="U92" i="2"/>
  <c r="I93" i="2"/>
  <c r="K93" i="2"/>
  <c r="O93" i="2"/>
  <c r="H94" i="2"/>
  <c r="J94" i="2"/>
  <c r="L94" i="2"/>
  <c r="U94" i="2"/>
  <c r="I95" i="2"/>
  <c r="K95" i="2"/>
  <c r="O95" i="2"/>
  <c r="H96" i="2"/>
  <c r="J96" i="2"/>
  <c r="L96" i="2"/>
  <c r="U96" i="2"/>
  <c r="I97" i="2"/>
  <c r="K97" i="2"/>
  <c r="O97" i="2"/>
  <c r="H98" i="2"/>
  <c r="J98" i="2"/>
  <c r="L98" i="2"/>
  <c r="U98" i="2"/>
  <c r="I99" i="2"/>
  <c r="K99" i="2"/>
  <c r="O99" i="2"/>
  <c r="H100" i="2"/>
  <c r="J100" i="2"/>
  <c r="L100" i="2"/>
  <c r="U100" i="2"/>
  <c r="I101" i="2"/>
  <c r="K101" i="2"/>
  <c r="O101" i="2"/>
  <c r="H102" i="2"/>
  <c r="J102" i="2"/>
  <c r="L102" i="2"/>
  <c r="U102" i="2"/>
  <c r="I103" i="2"/>
  <c r="K103" i="2"/>
  <c r="O103" i="2"/>
  <c r="H104" i="2"/>
  <c r="J104" i="2"/>
  <c r="L104" i="2"/>
  <c r="U104" i="2"/>
  <c r="I105" i="2"/>
  <c r="K105" i="2"/>
  <c r="O105" i="2"/>
  <c r="H106" i="2"/>
  <c r="J106" i="2"/>
  <c r="L106" i="2"/>
  <c r="U106" i="2"/>
  <c r="I107" i="2"/>
  <c r="K107" i="2"/>
  <c r="O107" i="2"/>
  <c r="H108" i="2"/>
  <c r="J108" i="2"/>
  <c r="L108" i="2"/>
  <c r="U108" i="2"/>
  <c r="I109" i="2"/>
  <c r="K109" i="2"/>
  <c r="O109" i="2"/>
  <c r="H110" i="2"/>
  <c r="J110" i="2"/>
  <c r="L110" i="2"/>
  <c r="U110" i="2"/>
  <c r="I111" i="2"/>
  <c r="K111" i="2"/>
  <c r="O111" i="2"/>
  <c r="H112" i="2"/>
  <c r="J112" i="2"/>
  <c r="L112" i="2"/>
  <c r="U112" i="2"/>
  <c r="I113" i="2"/>
  <c r="K113" i="2"/>
  <c r="O113" i="2"/>
  <c r="H114" i="2"/>
  <c r="J114" i="2"/>
  <c r="L114" i="2"/>
  <c r="U114" i="2"/>
  <c r="I115" i="2"/>
  <c r="K115" i="2"/>
  <c r="O115" i="2"/>
  <c r="H116" i="2"/>
  <c r="J116" i="2"/>
  <c r="L116" i="2"/>
  <c r="U116" i="2"/>
  <c r="I117" i="2"/>
  <c r="K117" i="2"/>
  <c r="O117" i="2"/>
  <c r="H118" i="2"/>
  <c r="J118" i="2"/>
  <c r="L118" i="2"/>
  <c r="U118" i="2"/>
  <c r="I119" i="2"/>
  <c r="K119" i="2"/>
  <c r="O119" i="2"/>
  <c r="H120" i="2"/>
  <c r="J120" i="2"/>
  <c r="L120" i="2"/>
  <c r="U120" i="2"/>
  <c r="I121" i="2"/>
  <c r="K121" i="2"/>
  <c r="O121" i="2"/>
  <c r="H122" i="2"/>
  <c r="J122" i="2"/>
  <c r="L122" i="2"/>
  <c r="U122" i="2"/>
  <c r="I123" i="2"/>
  <c r="K123" i="2"/>
  <c r="O123" i="2"/>
  <c r="H124" i="2"/>
  <c r="J124" i="2"/>
  <c r="L124" i="2"/>
  <c r="U124" i="2"/>
  <c r="I125" i="2"/>
  <c r="AA5" i="2"/>
  <c r="AA7" i="2"/>
  <c r="AA9" i="2"/>
  <c r="AA11" i="2"/>
  <c r="AA13" i="2"/>
  <c r="AA15" i="2"/>
  <c r="AA17" i="2"/>
  <c r="AA19" i="2"/>
  <c r="AA21" i="2"/>
  <c r="AA23" i="2"/>
  <c r="AA25" i="2"/>
  <c r="AA27" i="2"/>
  <c r="AA29" i="2"/>
  <c r="AA31" i="2"/>
  <c r="AA33" i="2"/>
  <c r="AA35" i="2"/>
  <c r="AA37" i="2"/>
  <c r="AA39" i="2"/>
  <c r="AA41" i="2"/>
  <c r="AA43" i="2"/>
  <c r="AA45" i="2"/>
  <c r="AA47" i="2"/>
  <c r="AA49" i="2"/>
  <c r="AA51" i="2"/>
  <c r="AA53" i="2"/>
  <c r="AA55" i="2"/>
  <c r="AA57" i="2"/>
  <c r="AA59" i="2"/>
  <c r="AA61" i="2"/>
  <c r="AA63" i="2"/>
  <c r="AA65" i="2"/>
  <c r="AA67" i="2"/>
  <c r="AA69" i="2"/>
  <c r="AA71" i="2"/>
  <c r="AA73" i="2"/>
  <c r="AA75" i="2"/>
  <c r="AA77" i="2"/>
  <c r="AA79" i="2"/>
  <c r="AA81" i="2"/>
  <c r="AA83" i="2"/>
  <c r="AA85" i="2"/>
  <c r="AA87" i="2"/>
  <c r="AA89" i="2"/>
  <c r="AA91" i="2"/>
  <c r="AA93" i="2"/>
  <c r="AA95" i="2"/>
  <c r="AA97" i="2"/>
  <c r="AA99" i="2"/>
  <c r="AA101" i="2"/>
  <c r="AA103" i="2"/>
  <c r="AA105" i="2"/>
  <c r="AA107" i="2"/>
  <c r="AA109" i="2"/>
  <c r="AA111" i="2"/>
  <c r="AA113" i="2"/>
  <c r="AA115" i="2"/>
  <c r="AA117" i="2"/>
  <c r="AA119" i="2"/>
  <c r="AA121" i="2"/>
  <c r="AA123" i="2"/>
  <c r="AA125" i="2"/>
  <c r="AA127" i="2"/>
  <c r="AA129" i="2"/>
  <c r="AA131" i="2"/>
  <c r="AA133" i="2"/>
  <c r="AA135" i="2"/>
  <c r="AA137" i="2"/>
  <c r="AA139" i="2"/>
  <c r="AA141" i="2"/>
  <c r="AA143" i="2"/>
  <c r="AA145" i="2"/>
  <c r="AA147" i="2"/>
  <c r="AA149" i="2"/>
  <c r="AA151" i="2"/>
  <c r="AA153" i="2"/>
  <c r="AA155" i="2"/>
  <c r="AA157" i="2"/>
  <c r="AA159" i="2"/>
  <c r="AA161" i="2"/>
  <c r="AA163" i="2"/>
  <c r="AA165" i="2"/>
  <c r="AA167" i="2"/>
  <c r="AA169" i="2"/>
  <c r="AA171" i="2"/>
  <c r="AA173" i="2"/>
  <c r="AA175" i="2"/>
  <c r="AA177" i="2"/>
  <c r="AA179" i="2"/>
  <c r="AA181" i="2"/>
  <c r="AA183" i="2"/>
  <c r="AA185" i="2"/>
  <c r="AA187" i="2"/>
  <c r="AA189" i="2"/>
  <c r="AA191" i="2"/>
  <c r="H4" i="2"/>
  <c r="J4" i="2"/>
  <c r="L4" i="2"/>
  <c r="U4" i="2"/>
  <c r="I5" i="2"/>
  <c r="K5" i="2"/>
  <c r="O5" i="2"/>
  <c r="H6" i="2"/>
  <c r="J6" i="2"/>
  <c r="L6" i="2"/>
  <c r="U6" i="2"/>
  <c r="I7" i="2"/>
  <c r="K7" i="2"/>
  <c r="O7" i="2"/>
  <c r="H8" i="2"/>
  <c r="J8" i="2"/>
  <c r="L8" i="2"/>
  <c r="U8" i="2"/>
  <c r="I9" i="2"/>
  <c r="K9" i="2"/>
  <c r="O9" i="2"/>
  <c r="H10" i="2"/>
  <c r="J10" i="2"/>
  <c r="L10" i="2"/>
  <c r="U10" i="2"/>
  <c r="I11" i="2"/>
  <c r="K11" i="2"/>
  <c r="O11" i="2"/>
  <c r="H12" i="2"/>
  <c r="J12" i="2"/>
  <c r="L12" i="2"/>
  <c r="U12" i="2"/>
  <c r="I13" i="2"/>
  <c r="K13" i="2"/>
  <c r="O13" i="2"/>
  <c r="H14" i="2"/>
  <c r="J14" i="2"/>
  <c r="L14" i="2"/>
  <c r="U14" i="2"/>
  <c r="I15" i="2"/>
  <c r="K15" i="2"/>
  <c r="O15" i="2"/>
  <c r="I16" i="2"/>
  <c r="K16" i="2"/>
  <c r="O16" i="2"/>
  <c r="H17" i="2"/>
  <c r="J17" i="2"/>
  <c r="L17" i="2"/>
  <c r="U17" i="2"/>
  <c r="I18" i="2"/>
  <c r="K18" i="2"/>
  <c r="O18" i="2"/>
  <c r="H19" i="2"/>
  <c r="J19" i="2"/>
  <c r="L19" i="2"/>
  <c r="U19" i="2"/>
  <c r="I20" i="2"/>
  <c r="K20" i="2"/>
  <c r="O20" i="2"/>
  <c r="H21" i="2"/>
  <c r="J21" i="2"/>
  <c r="L21" i="2"/>
  <c r="U21" i="2"/>
  <c r="I22" i="2"/>
  <c r="K22" i="2"/>
  <c r="O22" i="2"/>
  <c r="H23" i="2"/>
  <c r="J23" i="2"/>
  <c r="L23" i="2"/>
  <c r="U23" i="2"/>
  <c r="I24" i="2"/>
  <c r="K24" i="2"/>
  <c r="O24" i="2"/>
  <c r="H25" i="2"/>
  <c r="J25" i="2"/>
  <c r="L25" i="2"/>
  <c r="U25" i="2"/>
  <c r="I26" i="2"/>
  <c r="K26" i="2"/>
  <c r="O26" i="2"/>
  <c r="H27" i="2"/>
  <c r="J27" i="2"/>
  <c r="L27" i="2"/>
  <c r="U27" i="2"/>
  <c r="I28" i="2"/>
  <c r="K28" i="2"/>
  <c r="O28" i="2"/>
  <c r="H29" i="2"/>
  <c r="J29" i="2"/>
  <c r="L29" i="2"/>
  <c r="U29" i="2"/>
  <c r="I30" i="2"/>
  <c r="K30" i="2"/>
  <c r="O30" i="2"/>
  <c r="H31" i="2"/>
  <c r="J31" i="2"/>
  <c r="L31" i="2"/>
  <c r="U31" i="2"/>
  <c r="I32" i="2"/>
  <c r="K32" i="2"/>
  <c r="O32" i="2"/>
  <c r="H33" i="2"/>
  <c r="J33" i="2"/>
  <c r="L33" i="2"/>
  <c r="U33" i="2"/>
  <c r="I34" i="2"/>
  <c r="K34" i="2"/>
  <c r="O34" i="2"/>
  <c r="H35" i="2"/>
  <c r="J35" i="2"/>
  <c r="L35" i="2"/>
  <c r="U35" i="2"/>
  <c r="I36" i="2"/>
  <c r="K36" i="2"/>
  <c r="O36" i="2"/>
  <c r="H37" i="2"/>
  <c r="J37" i="2"/>
  <c r="L37" i="2"/>
  <c r="U37" i="2"/>
  <c r="I38" i="2"/>
  <c r="K38" i="2"/>
  <c r="O38" i="2"/>
  <c r="H39" i="2"/>
  <c r="J39" i="2"/>
  <c r="L39" i="2"/>
  <c r="U39" i="2"/>
  <c r="I40" i="2"/>
  <c r="K40" i="2"/>
  <c r="O40" i="2"/>
  <c r="H41" i="2"/>
  <c r="J41" i="2"/>
  <c r="L41" i="2"/>
  <c r="U41" i="2"/>
  <c r="I42" i="2"/>
  <c r="K42" i="2"/>
  <c r="O42" i="2"/>
  <c r="H43" i="2"/>
  <c r="J43" i="2"/>
  <c r="L43" i="2"/>
  <c r="U43" i="2"/>
  <c r="I44" i="2"/>
  <c r="K44" i="2"/>
  <c r="O44" i="2"/>
  <c r="H45" i="2"/>
  <c r="J45" i="2"/>
  <c r="L45" i="2"/>
  <c r="U45" i="2"/>
  <c r="I46" i="2"/>
  <c r="K46" i="2"/>
  <c r="O46" i="2"/>
  <c r="H47" i="2"/>
  <c r="J47" i="2"/>
  <c r="L47" i="2"/>
  <c r="U47" i="2"/>
  <c r="I48" i="2"/>
  <c r="K48" i="2"/>
  <c r="O48" i="2"/>
  <c r="H49" i="2"/>
  <c r="J49" i="2"/>
  <c r="L49" i="2"/>
  <c r="U49" i="2"/>
  <c r="I50" i="2"/>
  <c r="K50" i="2"/>
  <c r="O50" i="2"/>
  <c r="H51" i="2"/>
  <c r="J51" i="2"/>
  <c r="L51" i="2"/>
  <c r="U51" i="2"/>
  <c r="I52" i="2"/>
  <c r="K52" i="2"/>
  <c r="O52" i="2"/>
  <c r="H53" i="2"/>
  <c r="J53" i="2"/>
  <c r="L53" i="2"/>
  <c r="U53" i="2"/>
  <c r="I54" i="2"/>
  <c r="K54" i="2"/>
  <c r="O54" i="2"/>
  <c r="H55" i="2"/>
  <c r="J55" i="2"/>
  <c r="L55" i="2"/>
  <c r="U55" i="2"/>
  <c r="I56" i="2"/>
  <c r="K56" i="2"/>
  <c r="O56" i="2"/>
  <c r="H57" i="2"/>
  <c r="J57" i="2"/>
  <c r="L57" i="2"/>
  <c r="U57" i="2"/>
  <c r="I58" i="2"/>
  <c r="K58" i="2"/>
  <c r="O58" i="2"/>
  <c r="H59" i="2"/>
  <c r="J59" i="2"/>
  <c r="L59" i="2"/>
  <c r="U59" i="2"/>
  <c r="I60" i="2"/>
  <c r="K60" i="2"/>
  <c r="O60" i="2"/>
  <c r="H61" i="2"/>
  <c r="J61" i="2"/>
  <c r="L61" i="2"/>
  <c r="U61" i="2"/>
  <c r="I62" i="2"/>
  <c r="K62" i="2"/>
  <c r="O62" i="2"/>
  <c r="H63" i="2"/>
  <c r="J63" i="2"/>
  <c r="L63" i="2"/>
  <c r="U63" i="2"/>
  <c r="I64" i="2"/>
  <c r="K64" i="2"/>
  <c r="O64" i="2"/>
  <c r="H65" i="2"/>
  <c r="J65" i="2"/>
  <c r="L65" i="2"/>
  <c r="U65" i="2"/>
  <c r="I66" i="2"/>
  <c r="K66" i="2"/>
  <c r="O66" i="2"/>
  <c r="H67" i="2"/>
  <c r="J67" i="2"/>
  <c r="L67" i="2"/>
  <c r="U67" i="2"/>
  <c r="I68" i="2"/>
  <c r="K68" i="2"/>
  <c r="O68" i="2"/>
  <c r="H69" i="2"/>
  <c r="J69" i="2"/>
  <c r="L69" i="2"/>
  <c r="U69" i="2"/>
  <c r="I70" i="2"/>
  <c r="K70" i="2"/>
  <c r="O70" i="2"/>
  <c r="H71" i="2"/>
  <c r="J71" i="2"/>
  <c r="L71" i="2"/>
  <c r="U71" i="2"/>
  <c r="I72" i="2"/>
  <c r="K72" i="2"/>
  <c r="O72" i="2"/>
  <c r="H73" i="2"/>
  <c r="J73" i="2"/>
  <c r="L73" i="2"/>
  <c r="U73" i="2"/>
  <c r="I74" i="2"/>
  <c r="K74" i="2"/>
  <c r="O74" i="2"/>
  <c r="H75" i="2"/>
  <c r="J75" i="2"/>
  <c r="L75" i="2"/>
  <c r="U75" i="2"/>
  <c r="I76" i="2"/>
  <c r="K76" i="2"/>
  <c r="O76" i="2"/>
  <c r="H77" i="2"/>
  <c r="J77" i="2"/>
  <c r="L77" i="2"/>
  <c r="U77" i="2"/>
  <c r="I78" i="2"/>
  <c r="K78" i="2"/>
  <c r="O78" i="2"/>
  <c r="H79" i="2"/>
  <c r="J79" i="2"/>
  <c r="L79" i="2"/>
  <c r="U79" i="2"/>
  <c r="I80" i="2"/>
  <c r="K80" i="2"/>
  <c r="O80" i="2"/>
  <c r="H81" i="2"/>
  <c r="J81" i="2"/>
  <c r="L81" i="2"/>
  <c r="U81" i="2"/>
  <c r="I82" i="2"/>
  <c r="K82" i="2"/>
  <c r="O82" i="2"/>
  <c r="H83" i="2"/>
  <c r="J83" i="2"/>
  <c r="L83" i="2"/>
  <c r="U83" i="2"/>
  <c r="I84" i="2"/>
  <c r="K84" i="2"/>
  <c r="O84" i="2"/>
  <c r="H85" i="2"/>
  <c r="J85" i="2"/>
  <c r="L85" i="2"/>
  <c r="U85" i="2"/>
  <c r="I86" i="2"/>
  <c r="K86" i="2"/>
  <c r="O86" i="2"/>
  <c r="H87" i="2"/>
  <c r="J87" i="2"/>
  <c r="L87" i="2"/>
  <c r="U87" i="2"/>
  <c r="I88" i="2"/>
  <c r="K88" i="2"/>
  <c r="O88" i="2"/>
  <c r="H89" i="2"/>
  <c r="J89" i="2"/>
  <c r="L89" i="2"/>
  <c r="U89" i="2"/>
  <c r="I90" i="2"/>
  <c r="K90" i="2"/>
  <c r="O90" i="2"/>
  <c r="H91" i="2"/>
  <c r="J91" i="2"/>
  <c r="L91" i="2"/>
  <c r="U91" i="2"/>
  <c r="I92" i="2"/>
  <c r="K92" i="2"/>
  <c r="O92" i="2"/>
  <c r="H93" i="2"/>
  <c r="J93" i="2"/>
  <c r="L93" i="2"/>
  <c r="U93" i="2"/>
  <c r="I94" i="2"/>
  <c r="K94" i="2"/>
  <c r="O94" i="2"/>
  <c r="H95" i="2"/>
  <c r="J95" i="2"/>
  <c r="L95" i="2"/>
  <c r="U95" i="2"/>
  <c r="I96" i="2"/>
  <c r="K96" i="2"/>
  <c r="O96" i="2"/>
  <c r="H97" i="2"/>
  <c r="J97" i="2"/>
  <c r="L97" i="2"/>
  <c r="U97" i="2"/>
  <c r="I98" i="2"/>
  <c r="K98" i="2"/>
  <c r="O98" i="2"/>
  <c r="H99" i="2"/>
  <c r="J99" i="2"/>
  <c r="L99" i="2"/>
  <c r="U99" i="2"/>
  <c r="I100" i="2"/>
  <c r="K100" i="2"/>
  <c r="O100" i="2"/>
  <c r="H101" i="2"/>
  <c r="J101" i="2"/>
  <c r="L101" i="2"/>
  <c r="U101" i="2"/>
  <c r="I102" i="2"/>
  <c r="K102" i="2"/>
  <c r="O102" i="2"/>
  <c r="H103" i="2"/>
  <c r="J103" i="2"/>
  <c r="L103" i="2"/>
  <c r="U103" i="2"/>
  <c r="I104" i="2"/>
  <c r="K104" i="2"/>
  <c r="O104" i="2"/>
  <c r="H105" i="2"/>
  <c r="J105" i="2"/>
  <c r="L105" i="2"/>
  <c r="U105" i="2"/>
  <c r="I106" i="2"/>
  <c r="K106" i="2"/>
  <c r="O106" i="2"/>
  <c r="H107" i="2"/>
  <c r="J107" i="2"/>
  <c r="L107" i="2"/>
  <c r="U107" i="2"/>
  <c r="I108" i="2"/>
  <c r="K108" i="2"/>
  <c r="O108" i="2"/>
  <c r="H109" i="2"/>
  <c r="J109" i="2"/>
  <c r="L109" i="2"/>
  <c r="U109" i="2"/>
  <c r="I110" i="2"/>
  <c r="K110" i="2"/>
  <c r="O110" i="2"/>
  <c r="H111" i="2"/>
  <c r="J111" i="2"/>
  <c r="L111" i="2"/>
  <c r="U111" i="2"/>
  <c r="I112" i="2"/>
  <c r="K112" i="2"/>
  <c r="O112" i="2"/>
  <c r="H113" i="2"/>
  <c r="J113" i="2"/>
  <c r="L113" i="2"/>
  <c r="U113" i="2"/>
  <c r="I114" i="2"/>
  <c r="K114" i="2"/>
  <c r="O114" i="2"/>
  <c r="H115" i="2"/>
  <c r="J115" i="2"/>
  <c r="L115" i="2"/>
  <c r="U115" i="2"/>
  <c r="I116" i="2"/>
  <c r="K116" i="2"/>
  <c r="O116" i="2"/>
  <c r="H117" i="2"/>
  <c r="J117" i="2"/>
  <c r="L117" i="2"/>
  <c r="U117" i="2"/>
  <c r="I118" i="2"/>
  <c r="K118" i="2"/>
  <c r="O118" i="2"/>
  <c r="H119" i="2"/>
  <c r="J119" i="2"/>
  <c r="L119" i="2"/>
  <c r="U119" i="2"/>
  <c r="I120" i="2"/>
  <c r="K120" i="2"/>
  <c r="O120" i="2"/>
  <c r="H121" i="2"/>
  <c r="J121" i="2"/>
  <c r="L121" i="2"/>
  <c r="U121" i="2"/>
  <c r="I122" i="2"/>
  <c r="K122" i="2"/>
  <c r="O122" i="2"/>
  <c r="H123" i="2"/>
  <c r="J123" i="2"/>
  <c r="L123" i="2"/>
  <c r="U123" i="2"/>
  <c r="I124" i="2"/>
  <c r="G3" i="2"/>
  <c r="G15" i="2"/>
  <c r="G13" i="2"/>
  <c r="G11" i="2"/>
  <c r="G9" i="2"/>
  <c r="G6" i="2"/>
  <c r="G4" i="2"/>
  <c r="G27" i="2"/>
  <c r="G25" i="2"/>
  <c r="G23" i="2"/>
  <c r="G21" i="2"/>
  <c r="G19" i="2"/>
  <c r="G17" i="2"/>
  <c r="G41" i="2"/>
  <c r="G39" i="2"/>
  <c r="G37" i="2"/>
  <c r="G35" i="2"/>
  <c r="G33" i="2"/>
  <c r="G31" i="2"/>
  <c r="G29" i="2"/>
  <c r="G53" i="2"/>
  <c r="G51" i="2"/>
  <c r="G49" i="2"/>
  <c r="G47" i="2"/>
  <c r="G45" i="2"/>
  <c r="G43" i="2"/>
  <c r="G67" i="2"/>
  <c r="G65" i="2"/>
  <c r="G63" i="2"/>
  <c r="G61" i="2"/>
  <c r="G59" i="2"/>
  <c r="G57" i="2"/>
  <c r="G55" i="2"/>
  <c r="G79" i="2"/>
  <c r="G77" i="2"/>
  <c r="G75" i="2"/>
  <c r="G73" i="2"/>
  <c r="G71" i="2"/>
  <c r="G69" i="2"/>
  <c r="G93" i="2"/>
  <c r="G91" i="2"/>
  <c r="G89" i="2"/>
  <c r="G87" i="2"/>
  <c r="G85" i="2"/>
  <c r="G83" i="2"/>
  <c r="G81" i="2"/>
  <c r="G105" i="2"/>
  <c r="G103" i="2"/>
  <c r="G101" i="2"/>
  <c r="G99" i="2"/>
  <c r="G97" i="2"/>
  <c r="G95" i="2"/>
  <c r="L13" i="1"/>
  <c r="M114" i="2" s="1"/>
  <c r="Y18" i="1"/>
  <c r="Z18" i="1" s="1"/>
  <c r="G114" i="2"/>
  <c r="G112" i="2"/>
  <c r="G110" i="2"/>
  <c r="G108" i="2"/>
  <c r="G117" i="2"/>
  <c r="G133" i="2"/>
  <c r="G131" i="2"/>
  <c r="G129" i="2"/>
  <c r="G127" i="2"/>
  <c r="G125" i="2"/>
  <c r="G141" i="2"/>
  <c r="G139" i="2"/>
  <c r="G137" i="2"/>
  <c r="G135" i="2"/>
  <c r="G151" i="2"/>
  <c r="G149" i="2"/>
  <c r="G147" i="2"/>
  <c r="G145" i="2"/>
  <c r="G143" i="2"/>
  <c r="G159" i="2"/>
  <c r="G157" i="2"/>
  <c r="G155" i="2"/>
  <c r="G153" i="2"/>
  <c r="G169" i="2"/>
  <c r="G167" i="2"/>
  <c r="G165" i="2"/>
  <c r="G163" i="2"/>
  <c r="G161" i="2"/>
  <c r="G177" i="2"/>
  <c r="G175" i="2"/>
  <c r="G173" i="2"/>
  <c r="G171" i="2"/>
  <c r="F178" i="2"/>
  <c r="F176" i="2"/>
  <c r="F174" i="2"/>
  <c r="F172" i="2"/>
  <c r="F170" i="2"/>
  <c r="F168" i="2"/>
  <c r="F166" i="2"/>
  <c r="F164" i="2"/>
  <c r="F162" i="2"/>
  <c r="F160" i="2"/>
  <c r="F158" i="2"/>
  <c r="F156" i="2"/>
  <c r="F154" i="2"/>
  <c r="F152" i="2"/>
  <c r="F150" i="2"/>
  <c r="F148" i="2"/>
  <c r="F146" i="2"/>
  <c r="F144" i="2"/>
  <c r="F142" i="2"/>
  <c r="F140" i="2"/>
  <c r="F138" i="2"/>
  <c r="F136" i="2"/>
  <c r="F134" i="2"/>
  <c r="F132" i="2"/>
  <c r="F130" i="2"/>
  <c r="F128" i="2"/>
  <c r="F126" i="2"/>
  <c r="F124" i="2"/>
  <c r="F122" i="2"/>
  <c r="F120" i="2"/>
  <c r="F118" i="2"/>
  <c r="F116" i="2"/>
  <c r="F114" i="2"/>
  <c r="F112" i="2"/>
  <c r="F110" i="2"/>
  <c r="F108" i="2"/>
  <c r="F106" i="2"/>
  <c r="F104" i="2"/>
  <c r="F102" i="2"/>
  <c r="F100" i="2"/>
  <c r="F98" i="2"/>
  <c r="F96" i="2"/>
  <c r="F94" i="2"/>
  <c r="F92" i="2"/>
  <c r="F90" i="2"/>
  <c r="F88" i="2"/>
  <c r="F86" i="2"/>
  <c r="F84" i="2"/>
  <c r="F82" i="2"/>
  <c r="F80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F6" i="2"/>
  <c r="F4" i="2"/>
  <c r="F190" i="2"/>
  <c r="F188" i="2"/>
  <c r="F186" i="2"/>
  <c r="F184" i="2"/>
  <c r="F182" i="2"/>
  <c r="F180" i="2"/>
  <c r="G191" i="2"/>
  <c r="G189" i="2"/>
  <c r="G187" i="2"/>
  <c r="G185" i="2"/>
  <c r="G183" i="2"/>
  <c r="G181" i="2"/>
  <c r="G179" i="2"/>
  <c r="I3" i="2"/>
  <c r="J3" i="2"/>
  <c r="O3" i="2"/>
  <c r="U191" i="2"/>
  <c r="L191" i="2"/>
  <c r="J191" i="2"/>
  <c r="H191" i="2"/>
  <c r="O190" i="2"/>
  <c r="K190" i="2"/>
  <c r="I190" i="2"/>
  <c r="U189" i="2"/>
  <c r="L189" i="2"/>
  <c r="J189" i="2"/>
  <c r="H189" i="2"/>
  <c r="O188" i="2"/>
  <c r="K188" i="2"/>
  <c r="I188" i="2"/>
  <c r="U187" i="2"/>
  <c r="L187" i="2"/>
  <c r="J187" i="2"/>
  <c r="H187" i="2"/>
  <c r="O186" i="2"/>
  <c r="K186" i="2"/>
  <c r="I186" i="2"/>
  <c r="U185" i="2"/>
  <c r="L185" i="2"/>
  <c r="J185" i="2"/>
  <c r="H185" i="2"/>
  <c r="O184" i="2"/>
  <c r="K184" i="2"/>
  <c r="I184" i="2"/>
  <c r="U183" i="2"/>
  <c r="L183" i="2"/>
  <c r="J183" i="2"/>
  <c r="H183" i="2"/>
  <c r="O182" i="2"/>
  <c r="K182" i="2"/>
  <c r="I182" i="2"/>
  <c r="U181" i="2"/>
  <c r="L181" i="2"/>
  <c r="J181" i="2"/>
  <c r="H181" i="2"/>
  <c r="O180" i="2"/>
  <c r="K180" i="2"/>
  <c r="I180" i="2"/>
  <c r="U179" i="2"/>
  <c r="L179" i="2"/>
  <c r="J179" i="2"/>
  <c r="H179" i="2"/>
  <c r="O178" i="2"/>
  <c r="K178" i="2"/>
  <c r="I178" i="2"/>
  <c r="U177" i="2"/>
  <c r="L177" i="2"/>
  <c r="J177" i="2"/>
  <c r="H177" i="2"/>
  <c r="O176" i="2"/>
  <c r="K176" i="2"/>
  <c r="I176" i="2"/>
  <c r="U175" i="2"/>
  <c r="L175" i="2"/>
  <c r="J175" i="2"/>
  <c r="H175" i="2"/>
  <c r="O174" i="2"/>
  <c r="K174" i="2"/>
  <c r="I174" i="2"/>
  <c r="U173" i="2"/>
  <c r="L173" i="2"/>
  <c r="J173" i="2"/>
  <c r="H173" i="2"/>
  <c r="O172" i="2"/>
  <c r="K172" i="2"/>
  <c r="I172" i="2"/>
  <c r="U171" i="2"/>
  <c r="L171" i="2"/>
  <c r="J171" i="2"/>
  <c r="H171" i="2"/>
  <c r="O170" i="2"/>
  <c r="K170" i="2"/>
  <c r="I170" i="2"/>
  <c r="U169" i="2"/>
  <c r="L169" i="2"/>
  <c r="J169" i="2"/>
  <c r="H169" i="2"/>
  <c r="O168" i="2"/>
  <c r="K168" i="2"/>
  <c r="I168" i="2"/>
  <c r="U167" i="2"/>
  <c r="L167" i="2"/>
  <c r="J167" i="2"/>
  <c r="H167" i="2"/>
  <c r="O166" i="2"/>
  <c r="K166" i="2"/>
  <c r="I166" i="2"/>
  <c r="U165" i="2"/>
  <c r="L165" i="2"/>
  <c r="J165" i="2"/>
  <c r="H165" i="2"/>
  <c r="O164" i="2"/>
  <c r="K164" i="2"/>
  <c r="I164" i="2"/>
  <c r="U163" i="2"/>
  <c r="L163" i="2"/>
  <c r="J163" i="2"/>
  <c r="H163" i="2"/>
  <c r="O162" i="2"/>
  <c r="K162" i="2"/>
  <c r="I162" i="2"/>
  <c r="U161" i="2"/>
  <c r="L161" i="2"/>
  <c r="J161" i="2"/>
  <c r="H161" i="2"/>
  <c r="O160" i="2"/>
  <c r="K160" i="2"/>
  <c r="I160" i="2"/>
  <c r="U159" i="2"/>
  <c r="L159" i="2"/>
  <c r="J159" i="2"/>
  <c r="H159" i="2"/>
  <c r="O158" i="2"/>
  <c r="K158" i="2"/>
  <c r="I158" i="2"/>
  <c r="U157" i="2"/>
  <c r="L157" i="2"/>
  <c r="J157" i="2"/>
  <c r="H157" i="2"/>
  <c r="O156" i="2"/>
  <c r="K156" i="2"/>
  <c r="I156" i="2"/>
  <c r="U155" i="2"/>
  <c r="L155" i="2"/>
  <c r="J155" i="2"/>
  <c r="H155" i="2"/>
  <c r="O154" i="2"/>
  <c r="K154" i="2"/>
  <c r="I154" i="2"/>
  <c r="U153" i="2"/>
  <c r="L153" i="2"/>
  <c r="J153" i="2"/>
  <c r="H153" i="2"/>
  <c r="O152" i="2"/>
  <c r="K152" i="2"/>
  <c r="I152" i="2"/>
  <c r="U151" i="2"/>
  <c r="L151" i="2"/>
  <c r="J151" i="2"/>
  <c r="H151" i="2"/>
  <c r="O150" i="2"/>
  <c r="K150" i="2"/>
  <c r="I150" i="2"/>
  <c r="U149" i="2"/>
  <c r="L149" i="2"/>
  <c r="J149" i="2"/>
  <c r="H149" i="2"/>
  <c r="O148" i="2"/>
  <c r="K148" i="2"/>
  <c r="I148" i="2"/>
  <c r="U147" i="2"/>
  <c r="L147" i="2"/>
  <c r="J147" i="2"/>
  <c r="H147" i="2"/>
  <c r="O146" i="2"/>
  <c r="K146" i="2"/>
  <c r="I146" i="2"/>
  <c r="U145" i="2"/>
  <c r="L145" i="2"/>
  <c r="J145" i="2"/>
  <c r="H145" i="2"/>
  <c r="O144" i="2"/>
  <c r="K144" i="2"/>
  <c r="I144" i="2"/>
  <c r="U143" i="2"/>
  <c r="L143" i="2"/>
  <c r="J143" i="2"/>
  <c r="H143" i="2"/>
  <c r="O142" i="2"/>
  <c r="I142" i="2"/>
  <c r="U141" i="2"/>
  <c r="L141" i="2"/>
  <c r="J141" i="2"/>
  <c r="H141" i="2"/>
  <c r="O140" i="2"/>
  <c r="I140" i="2"/>
  <c r="U139" i="2"/>
  <c r="L139" i="2"/>
  <c r="J139" i="2"/>
  <c r="H139" i="2"/>
  <c r="O138" i="2"/>
  <c r="I138" i="2"/>
  <c r="U137" i="2"/>
  <c r="L137" i="2"/>
  <c r="J137" i="2"/>
  <c r="H137" i="2"/>
  <c r="O136" i="2"/>
  <c r="I136" i="2"/>
  <c r="U135" i="2"/>
  <c r="L135" i="2"/>
  <c r="J135" i="2"/>
  <c r="H135" i="2"/>
  <c r="O134" i="2"/>
  <c r="K134" i="2"/>
  <c r="I134" i="2"/>
  <c r="U133" i="2"/>
  <c r="L133" i="2"/>
  <c r="J133" i="2"/>
  <c r="H133" i="2"/>
  <c r="O132" i="2"/>
  <c r="I132" i="2"/>
  <c r="U131" i="2"/>
  <c r="L131" i="2"/>
  <c r="J131" i="2"/>
  <c r="H131" i="2"/>
  <c r="O130" i="2"/>
  <c r="I130" i="2"/>
  <c r="U129" i="2"/>
  <c r="L129" i="2"/>
  <c r="J129" i="2"/>
  <c r="H129" i="2"/>
  <c r="O128" i="2"/>
  <c r="I128" i="2"/>
  <c r="U127" i="2"/>
  <c r="L127" i="2"/>
  <c r="J127" i="2"/>
  <c r="H127" i="2"/>
  <c r="O126" i="2"/>
  <c r="I126" i="2"/>
  <c r="U125" i="2"/>
  <c r="L125" i="2"/>
  <c r="J125" i="2"/>
  <c r="O124" i="2"/>
  <c r="G14" i="2"/>
  <c r="G12" i="2"/>
  <c r="G10" i="2"/>
  <c r="G8" i="2"/>
  <c r="G5" i="2"/>
  <c r="G28" i="2"/>
  <c r="G26" i="2"/>
  <c r="G24" i="2"/>
  <c r="G22" i="2"/>
  <c r="G20" i="2"/>
  <c r="G18" i="2"/>
  <c r="G16" i="2"/>
  <c r="G40" i="2"/>
  <c r="G38" i="2"/>
  <c r="G36" i="2"/>
  <c r="G34" i="2"/>
  <c r="G32" i="2"/>
  <c r="G30" i="2"/>
  <c r="G54" i="2"/>
  <c r="G52" i="2"/>
  <c r="G50" i="2"/>
  <c r="G48" i="2"/>
  <c r="G46" i="2"/>
  <c r="G44" i="2"/>
  <c r="G42" i="2"/>
  <c r="G66" i="2"/>
  <c r="G64" i="2"/>
  <c r="G62" i="2"/>
  <c r="G60" i="2"/>
  <c r="G58" i="2"/>
  <c r="G56" i="2"/>
  <c r="G80" i="2"/>
  <c r="G78" i="2"/>
  <c r="G76" i="2"/>
  <c r="G74" i="2"/>
  <c r="G72" i="2"/>
  <c r="G70" i="2"/>
  <c r="G68" i="2"/>
  <c r="G92" i="2"/>
  <c r="G90" i="2"/>
  <c r="G88" i="2"/>
  <c r="G86" i="2"/>
  <c r="G84" i="2"/>
  <c r="G82" i="2"/>
  <c r="G106" i="2"/>
  <c r="G104" i="2"/>
  <c r="G102" i="2"/>
  <c r="G100" i="2"/>
  <c r="G98" i="2"/>
  <c r="G96" i="2"/>
  <c r="G94" i="2"/>
  <c r="G115" i="2"/>
  <c r="G113" i="2"/>
  <c r="G111" i="2"/>
  <c r="G109" i="2"/>
  <c r="G107" i="2"/>
  <c r="G116" i="2"/>
  <c r="G132" i="2"/>
  <c r="G130" i="2"/>
  <c r="G128" i="2"/>
  <c r="G126" i="2"/>
  <c r="G142" i="2"/>
  <c r="G140" i="2"/>
  <c r="G138" i="2"/>
  <c r="G136" i="2"/>
  <c r="G134" i="2"/>
  <c r="G150" i="2"/>
  <c r="G148" i="2"/>
  <c r="G146" i="2"/>
  <c r="G144" i="2"/>
  <c r="G160" i="2"/>
  <c r="G158" i="2"/>
  <c r="G156" i="2"/>
  <c r="G154" i="2"/>
  <c r="G152" i="2"/>
  <c r="G168" i="2"/>
  <c r="G166" i="2"/>
  <c r="G164" i="2"/>
  <c r="G162" i="2"/>
  <c r="G178" i="2"/>
  <c r="G176" i="2"/>
  <c r="G174" i="2"/>
  <c r="G172" i="2"/>
  <c r="G170" i="2"/>
  <c r="F177" i="2"/>
  <c r="F175" i="2"/>
  <c r="F173" i="2"/>
  <c r="F171" i="2"/>
  <c r="F169" i="2"/>
  <c r="F167" i="2"/>
  <c r="F165" i="2"/>
  <c r="F163" i="2"/>
  <c r="F161" i="2"/>
  <c r="F159" i="2"/>
  <c r="F157" i="2"/>
  <c r="F155" i="2"/>
  <c r="F153" i="2"/>
  <c r="F151" i="2"/>
  <c r="F149" i="2"/>
  <c r="F147" i="2"/>
  <c r="F145" i="2"/>
  <c r="F143" i="2"/>
  <c r="F141" i="2"/>
  <c r="F139" i="2"/>
  <c r="F137" i="2"/>
  <c r="F135" i="2"/>
  <c r="F133" i="2"/>
  <c r="F131" i="2"/>
  <c r="F129" i="2"/>
  <c r="F127" i="2"/>
  <c r="F125" i="2"/>
  <c r="F123" i="2"/>
  <c r="F121" i="2"/>
  <c r="F119" i="2"/>
  <c r="F117" i="2"/>
  <c r="F115" i="2"/>
  <c r="F113" i="2"/>
  <c r="F111" i="2"/>
  <c r="F109" i="2"/>
  <c r="F107" i="2"/>
  <c r="F105" i="2"/>
  <c r="F103" i="2"/>
  <c r="F101" i="2"/>
  <c r="F99" i="2"/>
  <c r="F97" i="2"/>
  <c r="F95" i="2"/>
  <c r="F93" i="2"/>
  <c r="F91" i="2"/>
  <c r="F89" i="2"/>
  <c r="F87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9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F5" i="2"/>
  <c r="F191" i="2"/>
  <c r="F189" i="2"/>
  <c r="F187" i="2"/>
  <c r="F185" i="2"/>
  <c r="F183" i="2"/>
  <c r="F181" i="2"/>
  <c r="F179" i="2"/>
  <c r="G190" i="2"/>
  <c r="G188" i="2"/>
  <c r="G186" i="2"/>
  <c r="G184" i="2"/>
  <c r="G182" i="2"/>
  <c r="G180" i="2"/>
  <c r="H3" i="2"/>
  <c r="K3" i="2"/>
  <c r="L3" i="2"/>
  <c r="U3" i="2"/>
  <c r="O191" i="2"/>
  <c r="K191" i="2"/>
  <c r="I191" i="2"/>
  <c r="U190" i="2"/>
  <c r="L190" i="2"/>
  <c r="J190" i="2"/>
  <c r="H190" i="2"/>
  <c r="O189" i="2"/>
  <c r="K189" i="2"/>
  <c r="I189" i="2"/>
  <c r="U188" i="2"/>
  <c r="L188" i="2"/>
  <c r="J188" i="2"/>
  <c r="H188" i="2"/>
  <c r="O187" i="2"/>
  <c r="K187" i="2"/>
  <c r="I187" i="2"/>
  <c r="U186" i="2"/>
  <c r="L186" i="2"/>
  <c r="J186" i="2"/>
  <c r="H186" i="2"/>
  <c r="O185" i="2"/>
  <c r="K185" i="2"/>
  <c r="I185" i="2"/>
  <c r="U184" i="2"/>
  <c r="L184" i="2"/>
  <c r="J184" i="2"/>
  <c r="H184" i="2"/>
  <c r="O183" i="2"/>
  <c r="K183" i="2"/>
  <c r="I183" i="2"/>
  <c r="U182" i="2"/>
  <c r="L182" i="2"/>
  <c r="J182" i="2"/>
  <c r="H182" i="2"/>
  <c r="O181" i="2"/>
  <c r="K181" i="2"/>
  <c r="I181" i="2"/>
  <c r="U180" i="2"/>
  <c r="L180" i="2"/>
  <c r="J180" i="2"/>
  <c r="H180" i="2"/>
  <c r="O179" i="2"/>
  <c r="K179" i="2"/>
  <c r="I179" i="2"/>
  <c r="U178" i="2"/>
  <c r="L178" i="2"/>
  <c r="J178" i="2"/>
  <c r="H178" i="2"/>
  <c r="O177" i="2"/>
  <c r="K177" i="2"/>
  <c r="I177" i="2"/>
  <c r="U176" i="2"/>
  <c r="L176" i="2"/>
  <c r="J176" i="2"/>
  <c r="H176" i="2"/>
  <c r="O175" i="2"/>
  <c r="K175" i="2"/>
  <c r="I175" i="2"/>
  <c r="U174" i="2"/>
  <c r="L174" i="2"/>
  <c r="J174" i="2"/>
  <c r="H174" i="2"/>
  <c r="O173" i="2"/>
  <c r="K173" i="2"/>
  <c r="I173" i="2"/>
  <c r="U172" i="2"/>
  <c r="L172" i="2"/>
  <c r="J172" i="2"/>
  <c r="H172" i="2"/>
  <c r="O171" i="2"/>
  <c r="K171" i="2"/>
  <c r="I171" i="2"/>
  <c r="U170" i="2"/>
  <c r="L170" i="2"/>
  <c r="J170" i="2"/>
  <c r="H170" i="2"/>
  <c r="O169" i="2"/>
  <c r="K169" i="2"/>
  <c r="I169" i="2"/>
  <c r="U168" i="2"/>
  <c r="L168" i="2"/>
  <c r="J168" i="2"/>
  <c r="H168" i="2"/>
  <c r="O167" i="2"/>
  <c r="K167" i="2"/>
  <c r="I167" i="2"/>
  <c r="U166" i="2"/>
  <c r="L166" i="2"/>
  <c r="J166" i="2"/>
  <c r="H166" i="2"/>
  <c r="O165" i="2"/>
  <c r="I165" i="2"/>
  <c r="U164" i="2"/>
  <c r="L164" i="2"/>
  <c r="J164" i="2"/>
  <c r="H164" i="2"/>
  <c r="O163" i="2"/>
  <c r="K163" i="2"/>
  <c r="I163" i="2"/>
  <c r="U162" i="2"/>
  <c r="L162" i="2"/>
  <c r="J162" i="2"/>
  <c r="H162" i="2"/>
  <c r="O161" i="2"/>
  <c r="K161" i="2"/>
  <c r="I161" i="2"/>
  <c r="U160" i="2"/>
  <c r="L160" i="2"/>
  <c r="J160" i="2"/>
  <c r="H160" i="2"/>
  <c r="O159" i="2"/>
  <c r="K159" i="2"/>
  <c r="I159" i="2"/>
  <c r="U158" i="2"/>
  <c r="L158" i="2"/>
  <c r="J158" i="2"/>
  <c r="H158" i="2"/>
  <c r="O157" i="2"/>
  <c r="K157" i="2"/>
  <c r="I157" i="2"/>
  <c r="U156" i="2"/>
  <c r="L156" i="2"/>
  <c r="J156" i="2"/>
  <c r="H156" i="2"/>
  <c r="O155" i="2"/>
  <c r="K155" i="2"/>
  <c r="I155" i="2"/>
  <c r="U154" i="2"/>
  <c r="L154" i="2"/>
  <c r="J154" i="2"/>
  <c r="H154" i="2"/>
  <c r="O153" i="2"/>
  <c r="K153" i="2"/>
  <c r="I153" i="2"/>
  <c r="U152" i="2"/>
  <c r="L152" i="2"/>
  <c r="J152" i="2"/>
  <c r="H152" i="2"/>
  <c r="O151" i="2"/>
  <c r="K151" i="2"/>
  <c r="I151" i="2"/>
  <c r="U150" i="2"/>
  <c r="L150" i="2"/>
  <c r="J150" i="2"/>
  <c r="H150" i="2"/>
  <c r="O149" i="2"/>
  <c r="K149" i="2"/>
  <c r="I149" i="2"/>
  <c r="U148" i="2"/>
  <c r="L148" i="2"/>
  <c r="J148" i="2"/>
  <c r="H148" i="2"/>
  <c r="O147" i="2"/>
  <c r="K147" i="2"/>
  <c r="I147" i="2"/>
  <c r="U146" i="2"/>
  <c r="L146" i="2"/>
  <c r="J146" i="2"/>
  <c r="H146" i="2"/>
  <c r="O145" i="2"/>
  <c r="K145" i="2"/>
  <c r="I145" i="2"/>
  <c r="U144" i="2"/>
  <c r="L144" i="2"/>
  <c r="J144" i="2"/>
  <c r="H144" i="2"/>
  <c r="O143" i="2"/>
  <c r="K143" i="2"/>
  <c r="I143" i="2"/>
  <c r="U142" i="2"/>
  <c r="L142" i="2"/>
  <c r="J142" i="2"/>
  <c r="H142" i="2"/>
  <c r="O141" i="2"/>
  <c r="I141" i="2"/>
  <c r="U140" i="2"/>
  <c r="L140" i="2"/>
  <c r="J140" i="2"/>
  <c r="H140" i="2"/>
  <c r="O139" i="2"/>
  <c r="I139" i="2"/>
  <c r="U138" i="2"/>
  <c r="L138" i="2"/>
  <c r="J138" i="2"/>
  <c r="H138" i="2"/>
  <c r="O137" i="2"/>
  <c r="I137" i="2"/>
  <c r="U136" i="2"/>
  <c r="L136" i="2"/>
  <c r="J136" i="2"/>
  <c r="H136" i="2"/>
  <c r="O135" i="2"/>
  <c r="K135" i="2"/>
  <c r="I135" i="2"/>
  <c r="U134" i="2"/>
  <c r="L134" i="2"/>
  <c r="J134" i="2"/>
  <c r="H134" i="2"/>
  <c r="O133" i="2"/>
  <c r="I133" i="2"/>
  <c r="U132" i="2"/>
  <c r="L132" i="2"/>
  <c r="J132" i="2"/>
  <c r="H132" i="2"/>
  <c r="O131" i="2"/>
  <c r="I131" i="2"/>
  <c r="U130" i="2"/>
  <c r="L130" i="2"/>
  <c r="J130" i="2"/>
  <c r="H130" i="2"/>
  <c r="O129" i="2"/>
  <c r="I129" i="2"/>
  <c r="U128" i="2"/>
  <c r="L128" i="2"/>
  <c r="J128" i="2"/>
  <c r="H128" i="2"/>
  <c r="O127" i="2"/>
  <c r="I127" i="2"/>
  <c r="U126" i="2"/>
  <c r="L126" i="2"/>
  <c r="J126" i="2"/>
  <c r="H126" i="2"/>
  <c r="O125" i="2"/>
  <c r="H125" i="2"/>
  <c r="K124" i="2"/>
  <c r="X4" i="1"/>
  <c r="M15" i="2"/>
  <c r="M11" i="2"/>
  <c r="M7" i="2"/>
  <c r="M12" i="2"/>
  <c r="M8" i="2"/>
  <c r="M4" i="2"/>
  <c r="M3" i="2"/>
  <c r="M13" i="2"/>
  <c r="M9" i="2"/>
  <c r="M5" i="2"/>
  <c r="Y11" i="1"/>
  <c r="Z11" i="1" s="1"/>
  <c r="AA11" i="1" s="1"/>
  <c r="N103" i="2"/>
  <c r="N99" i="2"/>
  <c r="N95" i="2"/>
  <c r="N106" i="2"/>
  <c r="N102" i="2"/>
  <c r="N98" i="2"/>
  <c r="N94" i="2"/>
  <c r="N105" i="2"/>
  <c r="N101" i="2"/>
  <c r="N97" i="2"/>
  <c r="Y8" i="1"/>
  <c r="Z8" i="1" s="1"/>
  <c r="AA8" i="1" s="1"/>
  <c r="N65" i="2"/>
  <c r="N57" i="2"/>
  <c r="N64" i="2"/>
  <c r="N60" i="2"/>
  <c r="N56" i="2"/>
  <c r="N63" i="2"/>
  <c r="N55" i="2"/>
  <c r="N61" i="2"/>
  <c r="N66" i="2"/>
  <c r="N62" i="2"/>
  <c r="N58" i="2"/>
  <c r="N59" i="2"/>
  <c r="N96" i="2"/>
  <c r="N104" i="2"/>
  <c r="M6" i="2"/>
  <c r="M14" i="2"/>
  <c r="N30" i="2"/>
  <c r="X13" i="1"/>
  <c r="M115" i="2"/>
  <c r="M111" i="2"/>
  <c r="M107" i="2"/>
  <c r="M112" i="2"/>
  <c r="M108" i="2"/>
  <c r="M113" i="2"/>
  <c r="M109" i="2"/>
  <c r="Y7" i="1"/>
  <c r="Z7" i="1" s="1"/>
  <c r="AA7" i="1" s="1"/>
  <c r="N49" i="2"/>
  <c r="N52" i="2"/>
  <c r="N48" i="2"/>
  <c r="N44" i="2"/>
  <c r="N47" i="2"/>
  <c r="N53" i="2"/>
  <c r="N45" i="2"/>
  <c r="N54" i="2"/>
  <c r="N50" i="2"/>
  <c r="N46" i="2"/>
  <c r="Y6" i="1"/>
  <c r="Z6" i="1" s="1"/>
  <c r="AA6" i="1" s="1"/>
  <c r="N41" i="2"/>
  <c r="N33" i="2"/>
  <c r="N40" i="2"/>
  <c r="N36" i="2"/>
  <c r="N32" i="2"/>
  <c r="N39" i="2"/>
  <c r="N31" i="2"/>
  <c r="N37" i="2"/>
  <c r="N29" i="2"/>
  <c r="N35" i="2"/>
  <c r="N51" i="2"/>
  <c r="N67" i="2"/>
  <c r="N100" i="2"/>
  <c r="M10" i="2"/>
  <c r="M110" i="2"/>
  <c r="N34" i="2"/>
  <c r="N42" i="2"/>
  <c r="T110" i="2"/>
  <c r="AK81" i="2"/>
  <c r="AK83" i="2"/>
  <c r="AK85" i="2"/>
  <c r="AK87" i="2"/>
  <c r="AK89" i="2"/>
  <c r="AK91" i="2"/>
  <c r="AK93" i="2"/>
  <c r="AK82" i="2"/>
  <c r="AK84" i="2"/>
  <c r="AK86" i="2"/>
  <c r="AK88" i="2"/>
  <c r="AK90" i="2"/>
  <c r="AK92" i="2"/>
  <c r="AK117" i="2"/>
  <c r="AK119" i="2"/>
  <c r="AK121" i="2"/>
  <c r="AK123" i="2"/>
  <c r="AK116" i="2"/>
  <c r="AK118" i="2"/>
  <c r="AK120" i="2"/>
  <c r="AK122" i="2"/>
  <c r="AK124" i="2"/>
  <c r="T156" i="2"/>
  <c r="S156" i="2"/>
  <c r="T164" i="2"/>
  <c r="S164" i="2"/>
  <c r="T172" i="2"/>
  <c r="S172" i="2"/>
  <c r="T180" i="2"/>
  <c r="S180" i="2"/>
  <c r="T188" i="2"/>
  <c r="S188" i="2"/>
  <c r="T8" i="2"/>
  <c r="S8" i="2"/>
  <c r="T16" i="2"/>
  <c r="S16" i="2"/>
  <c r="T24" i="2"/>
  <c r="S24" i="2"/>
  <c r="T32" i="2"/>
  <c r="S32" i="2"/>
  <c r="T40" i="2"/>
  <c r="S40" i="2"/>
  <c r="T48" i="2"/>
  <c r="S48" i="2"/>
  <c r="T54" i="2"/>
  <c r="S54" i="2"/>
  <c r="T58" i="2"/>
  <c r="S58" i="2"/>
  <c r="T62" i="2"/>
  <c r="S62" i="2"/>
  <c r="T66" i="2"/>
  <c r="S66" i="2"/>
  <c r="T70" i="2"/>
  <c r="S70" i="2"/>
  <c r="T138" i="2"/>
  <c r="S138" i="2"/>
  <c r="T140" i="2"/>
  <c r="S140" i="2"/>
  <c r="T142" i="2"/>
  <c r="S142" i="2"/>
  <c r="T144" i="2"/>
  <c r="S144" i="2"/>
  <c r="T146" i="2"/>
  <c r="S146" i="2"/>
  <c r="T148" i="2"/>
  <c r="S148" i="2"/>
  <c r="T150" i="2"/>
  <c r="S150" i="2"/>
  <c r="AD150" i="2" s="1"/>
  <c r="T152" i="2"/>
  <c r="S152" i="2"/>
  <c r="T154" i="2"/>
  <c r="S154" i="2"/>
  <c r="AD154" i="2" s="1"/>
  <c r="T145" i="2"/>
  <c r="AE145" i="2" s="1"/>
  <c r="S145" i="2"/>
  <c r="T153" i="2"/>
  <c r="AE153" i="2"/>
  <c r="S153" i="2"/>
  <c r="AK69" i="2"/>
  <c r="AX69" i="2" s="1"/>
  <c r="BA69" i="2" s="1"/>
  <c r="BB69" i="2" s="1"/>
  <c r="AK71" i="2"/>
  <c r="AK73" i="2"/>
  <c r="AK75" i="2"/>
  <c r="AK77" i="2"/>
  <c r="AK79" i="2"/>
  <c r="AK68" i="2"/>
  <c r="AX68" i="2" s="1"/>
  <c r="BA68" i="2" s="1"/>
  <c r="BB68" i="2" s="1"/>
  <c r="AK70" i="2"/>
  <c r="AK72" i="2"/>
  <c r="AK74" i="2"/>
  <c r="AK76" i="2"/>
  <c r="AK78" i="2"/>
  <c r="AK80" i="2"/>
  <c r="AK153" i="2"/>
  <c r="AK155" i="2"/>
  <c r="AK157" i="2"/>
  <c r="AK159" i="2"/>
  <c r="AK152" i="2"/>
  <c r="AK154" i="2"/>
  <c r="AK156" i="2"/>
  <c r="AK158" i="2"/>
  <c r="AK160" i="2"/>
  <c r="T160" i="2"/>
  <c r="S160" i="2"/>
  <c r="T168" i="2"/>
  <c r="S168" i="2"/>
  <c r="AG168" i="2" s="1"/>
  <c r="T176" i="2"/>
  <c r="S176" i="2"/>
  <c r="T184" i="2"/>
  <c r="S184" i="2"/>
  <c r="T6" i="2"/>
  <c r="S6" i="2"/>
  <c r="T10" i="2"/>
  <c r="S10" i="2"/>
  <c r="T14" i="2"/>
  <c r="AE14" i="2" s="1"/>
  <c r="S14" i="2"/>
  <c r="AG14" i="2"/>
  <c r="T18" i="2"/>
  <c r="S18" i="2"/>
  <c r="AD18" i="2" s="1"/>
  <c r="T22" i="2"/>
  <c r="AE22" i="2" s="1"/>
  <c r="S22" i="2"/>
  <c r="AG22" i="2" s="1"/>
  <c r="T26" i="2"/>
  <c r="S26" i="2"/>
  <c r="T30" i="2"/>
  <c r="S30" i="2"/>
  <c r="AG30" i="2"/>
  <c r="T34" i="2"/>
  <c r="S34" i="2"/>
  <c r="AD34" i="2" s="1"/>
  <c r="T38" i="2"/>
  <c r="S38" i="2"/>
  <c r="AG38" i="2" s="1"/>
  <c r="T42" i="2"/>
  <c r="S42" i="2"/>
  <c r="AD42" i="2" s="1"/>
  <c r="T46" i="2"/>
  <c r="S46" i="2"/>
  <c r="T50" i="2"/>
  <c r="S50" i="2"/>
  <c r="T52" i="2"/>
  <c r="T56" i="2"/>
  <c r="S56" i="2"/>
  <c r="AD56" i="2" s="1"/>
  <c r="T64" i="2"/>
  <c r="S64" i="2"/>
  <c r="AD64" i="2" s="1"/>
  <c r="Y162" i="2"/>
  <c r="T5" i="2"/>
  <c r="S5" i="2"/>
  <c r="T7" i="2"/>
  <c r="S7" i="2"/>
  <c r="T9" i="2"/>
  <c r="S9" i="2"/>
  <c r="T11" i="2"/>
  <c r="S11" i="2"/>
  <c r="T13" i="2"/>
  <c r="S13" i="2"/>
  <c r="T15" i="2"/>
  <c r="S15" i="2"/>
  <c r="T17" i="2"/>
  <c r="S17" i="2"/>
  <c r="T19" i="2"/>
  <c r="S19" i="2"/>
  <c r="T21" i="2"/>
  <c r="S21" i="2"/>
  <c r="T23" i="2"/>
  <c r="S23" i="2"/>
  <c r="T25" i="2"/>
  <c r="S25" i="2"/>
  <c r="T27" i="2"/>
  <c r="S27" i="2"/>
  <c r="T29" i="2"/>
  <c r="S29" i="2"/>
  <c r="T31" i="2"/>
  <c r="S31" i="2"/>
  <c r="T33" i="2"/>
  <c r="S33" i="2"/>
  <c r="T35" i="2"/>
  <c r="S35" i="2"/>
  <c r="T37" i="2"/>
  <c r="S37" i="2"/>
  <c r="T39" i="2"/>
  <c r="S39" i="2"/>
  <c r="T41" i="2"/>
  <c r="S41" i="2"/>
  <c r="T43" i="2"/>
  <c r="AJ43" i="2" s="1"/>
  <c r="S43" i="2"/>
  <c r="T45" i="2"/>
  <c r="AJ45" i="2" s="1"/>
  <c r="S45" i="2"/>
  <c r="T47" i="2"/>
  <c r="AJ47" i="2" s="1"/>
  <c r="S47" i="2"/>
  <c r="T49" i="2"/>
  <c r="AJ49" i="2" s="1"/>
  <c r="S49" i="2"/>
  <c r="AG49" i="2"/>
  <c r="T51" i="2"/>
  <c r="S51" i="2"/>
  <c r="T53" i="2"/>
  <c r="S53" i="2"/>
  <c r="T55" i="2"/>
  <c r="S55" i="2"/>
  <c r="AD55" i="2" s="1"/>
  <c r="T57" i="2"/>
  <c r="S57" i="2"/>
  <c r="T59" i="2"/>
  <c r="S59" i="2"/>
  <c r="T61" i="2"/>
  <c r="S61" i="2"/>
  <c r="T63" i="2"/>
  <c r="S63" i="2"/>
  <c r="T65" i="2"/>
  <c r="AJ65" i="2" s="1"/>
  <c r="S65" i="2"/>
  <c r="T67" i="2"/>
  <c r="S67" i="2"/>
  <c r="T69" i="2"/>
  <c r="S69" i="2"/>
  <c r="T71" i="2"/>
  <c r="AJ71" i="2" s="1"/>
  <c r="S71" i="2"/>
  <c r="T73" i="2"/>
  <c r="AJ73" i="2" s="1"/>
  <c r="S73" i="2"/>
  <c r="T75" i="2"/>
  <c r="S75" i="2"/>
  <c r="AI75" i="2" s="1"/>
  <c r="T79" i="2"/>
  <c r="S79" i="2"/>
  <c r="AD79" i="2" s="1"/>
  <c r="T81" i="2"/>
  <c r="AJ81" i="2" s="1"/>
  <c r="S81" i="2"/>
  <c r="T83" i="2"/>
  <c r="AG83" i="2" s="1"/>
  <c r="S83" i="2"/>
  <c r="T87" i="2"/>
  <c r="S87" i="2"/>
  <c r="T89" i="2"/>
  <c r="AE89" i="2" s="1"/>
  <c r="S89" i="2"/>
  <c r="T91" i="2"/>
  <c r="AE91" i="2" s="1"/>
  <c r="S91" i="2"/>
  <c r="AI91" i="2"/>
  <c r="T95" i="2"/>
  <c r="S95" i="2"/>
  <c r="T97" i="2"/>
  <c r="S97" i="2"/>
  <c r="T99" i="2"/>
  <c r="S99" i="2"/>
  <c r="AD99" i="2" s="1"/>
  <c r="T103" i="2"/>
  <c r="S103" i="2"/>
  <c r="T105" i="2"/>
  <c r="S105" i="2"/>
  <c r="T107" i="2"/>
  <c r="S107" i="2"/>
  <c r="T111" i="2"/>
  <c r="AE111" i="2" s="1"/>
  <c r="S111" i="2"/>
  <c r="AD111" i="2"/>
  <c r="T119" i="2"/>
  <c r="S119" i="2"/>
  <c r="AG119" i="2" s="1"/>
  <c r="T121" i="2"/>
  <c r="S121" i="2"/>
  <c r="T129" i="2"/>
  <c r="S129" i="2"/>
  <c r="T131" i="2"/>
  <c r="S131" i="2"/>
  <c r="T177" i="2"/>
  <c r="AG177" i="2"/>
  <c r="S177" i="2"/>
  <c r="T185" i="2"/>
  <c r="S185" i="2"/>
  <c r="AG185" i="2"/>
  <c r="T94" i="2"/>
  <c r="T126" i="2"/>
  <c r="Z178" i="2"/>
  <c r="AH178" i="2"/>
  <c r="T20" i="2"/>
  <c r="T102" i="2"/>
  <c r="T118" i="2"/>
  <c r="T134" i="2"/>
  <c r="AE134" i="2" s="1"/>
  <c r="Y170" i="2"/>
  <c r="AH170" i="2" s="1"/>
  <c r="Z186" i="2"/>
  <c r="Y9" i="2"/>
  <c r="Y15" i="2"/>
  <c r="AH15" i="2" s="1"/>
  <c r="Y23" i="2"/>
  <c r="Y27" i="2"/>
  <c r="Y35" i="2"/>
  <c r="Y41" i="2"/>
  <c r="AH41" i="2"/>
  <c r="Z47" i="2"/>
  <c r="Z55" i="2"/>
  <c r="AJ55" i="2" s="1"/>
  <c r="Y59" i="2"/>
  <c r="Y67" i="2"/>
  <c r="AH67" i="2" s="1"/>
  <c r="Y73" i="2"/>
  <c r="S3" i="2"/>
  <c r="T4" i="2"/>
  <c r="Z6" i="2"/>
  <c r="Z10" i="2"/>
  <c r="Z30" i="2"/>
  <c r="AJ30" i="2"/>
  <c r="Z34" i="2"/>
  <c r="T36" i="2"/>
  <c r="AE36" i="2" s="1"/>
  <c r="Z38" i="2"/>
  <c r="Z42" i="2"/>
  <c r="Z62" i="2"/>
  <c r="Z66" i="2"/>
  <c r="AJ66" i="2" s="1"/>
  <c r="T68" i="2"/>
  <c r="Z70" i="2"/>
  <c r="AJ70" i="2" s="1"/>
  <c r="Z78" i="2"/>
  <c r="Z86" i="2"/>
  <c r="AH86" i="2" s="1"/>
  <c r="T98" i="2"/>
  <c r="T106" i="2"/>
  <c r="T114" i="2"/>
  <c r="T122" i="2"/>
  <c r="T130" i="2"/>
  <c r="Y158" i="2"/>
  <c r="Y166" i="2"/>
  <c r="Z174" i="2"/>
  <c r="Y190" i="2"/>
  <c r="Z190" i="2"/>
  <c r="Z14" i="2"/>
  <c r="Z18" i="2"/>
  <c r="Z22" i="2"/>
  <c r="AJ22" i="2" s="1"/>
  <c r="Z26" i="2"/>
  <c r="Z46" i="2"/>
  <c r="Z50" i="2"/>
  <c r="Z54" i="2"/>
  <c r="AJ54" i="2" s="1"/>
  <c r="Z58" i="2"/>
  <c r="AJ58" i="2" s="1"/>
  <c r="Z74" i="2"/>
  <c r="Z82" i="2"/>
  <c r="Z90" i="2"/>
  <c r="AH90" i="2" s="1"/>
  <c r="Y182" i="2"/>
  <c r="Z182" i="2"/>
  <c r="AH182" i="2"/>
  <c r="Y7" i="2"/>
  <c r="Y11" i="2"/>
  <c r="AH11" i="2" s="1"/>
  <c r="Y19" i="2"/>
  <c r="AH19" i="2" s="1"/>
  <c r="Y25" i="2"/>
  <c r="AH25" i="2" s="1"/>
  <c r="Y31" i="2"/>
  <c r="Y39" i="2"/>
  <c r="AH39" i="2" s="1"/>
  <c r="Y43" i="2"/>
  <c r="Y51" i="2"/>
  <c r="AH51" i="2"/>
  <c r="Y57" i="2"/>
  <c r="Z63" i="2"/>
  <c r="T77" i="2"/>
  <c r="AJ77" i="2" s="1"/>
  <c r="Z83" i="2"/>
  <c r="Y87" i="2"/>
  <c r="Y89" i="2"/>
  <c r="AH89" i="2" s="1"/>
  <c r="Z91" i="2"/>
  <c r="Y95" i="2"/>
  <c r="T101" i="2"/>
  <c r="T109" i="2"/>
  <c r="Y121" i="2"/>
  <c r="Z123" i="2"/>
  <c r="AH123" i="2"/>
  <c r="T133" i="2"/>
  <c r="T147" i="2"/>
  <c r="AE147" i="2" s="1"/>
  <c r="T151" i="2"/>
  <c r="AE151" i="2" s="1"/>
  <c r="Y153" i="2"/>
  <c r="T155" i="2"/>
  <c r="AE155" i="2" s="1"/>
  <c r="T159" i="2"/>
  <c r="T179" i="2"/>
  <c r="T187" i="2"/>
  <c r="T191" i="2"/>
  <c r="Y71" i="2"/>
  <c r="Z75" i="2"/>
  <c r="Y79" i="2"/>
  <c r="AH79" i="2"/>
  <c r="T85" i="2"/>
  <c r="T93" i="2"/>
  <c r="AE93" i="2" s="1"/>
  <c r="Z99" i="2"/>
  <c r="Y103" i="2"/>
  <c r="AH103" i="2" s="1"/>
  <c r="Y111" i="2"/>
  <c r="AI111" i="2" s="1"/>
  <c r="Z131" i="2"/>
  <c r="Y135" i="2"/>
  <c r="T149" i="2"/>
  <c r="T157" i="2"/>
  <c r="T181" i="2"/>
  <c r="AG181" i="2"/>
  <c r="T189" i="2"/>
  <c r="Z4" i="2"/>
  <c r="Z8" i="2"/>
  <c r="T12" i="2"/>
  <c r="Z12" i="2"/>
  <c r="Z16" i="2"/>
  <c r="Z20" i="2"/>
  <c r="AJ20" i="2" s="1"/>
  <c r="Z24" i="2"/>
  <c r="T28" i="2"/>
  <c r="Z28" i="2"/>
  <c r="Z32" i="2"/>
  <c r="AJ32" i="2" s="1"/>
  <c r="Z36" i="2"/>
  <c r="Z40" i="2"/>
  <c r="AH40" i="2" s="1"/>
  <c r="T44" i="2"/>
  <c r="Z44" i="2"/>
  <c r="AJ44" i="2" s="1"/>
  <c r="Z48" i="2"/>
  <c r="AJ48" i="2"/>
  <c r="Z52" i="2"/>
  <c r="Z56" i="2"/>
  <c r="T60" i="2"/>
  <c r="AJ60" i="2"/>
  <c r="Z60" i="2"/>
  <c r="Z64" i="2"/>
  <c r="Z68" i="2"/>
  <c r="T72" i="2"/>
  <c r="AJ72" i="2" s="1"/>
  <c r="Z72" i="2"/>
  <c r="T74" i="2"/>
  <c r="T76" i="2"/>
  <c r="Z76" i="2"/>
  <c r="T78" i="2"/>
  <c r="AE78" i="2" s="1"/>
  <c r="T80" i="2"/>
  <c r="AJ80" i="2" s="1"/>
  <c r="Z80" i="2"/>
  <c r="T82" i="2"/>
  <c r="T84" i="2"/>
  <c r="AE84" i="2" s="1"/>
  <c r="Z84" i="2"/>
  <c r="T86" i="2"/>
  <c r="AJ86" i="2" s="1"/>
  <c r="T88" i="2"/>
  <c r="AJ88" i="2" s="1"/>
  <c r="Z88" i="2"/>
  <c r="T90" i="2"/>
  <c r="AJ90" i="2" s="1"/>
  <c r="T92" i="2"/>
  <c r="Z92" i="2"/>
  <c r="Z94" i="2"/>
  <c r="T96" i="2"/>
  <c r="Z96" i="2"/>
  <c r="Z98" i="2"/>
  <c r="AH98" i="2"/>
  <c r="T100" i="2"/>
  <c r="AG100" i="2"/>
  <c r="Z100" i="2"/>
  <c r="Z102" i="2"/>
  <c r="T104" i="2"/>
  <c r="AJ104" i="2"/>
  <c r="Z104" i="2"/>
  <c r="Z106" i="2"/>
  <c r="T108" i="2"/>
  <c r="Z108" i="2"/>
  <c r="Z110" i="2"/>
  <c r="T112" i="2"/>
  <c r="Z112" i="2"/>
  <c r="Z114" i="2"/>
  <c r="T116" i="2"/>
  <c r="Z116" i="2"/>
  <c r="AH116" i="2" s="1"/>
  <c r="Z118" i="2"/>
  <c r="T120" i="2"/>
  <c r="AE120" i="2" s="1"/>
  <c r="Z120" i="2"/>
  <c r="Z122" i="2"/>
  <c r="AH122" i="2"/>
  <c r="T124" i="2"/>
  <c r="Z124" i="2"/>
  <c r="AJ124" i="2" s="1"/>
  <c r="Z126" i="2"/>
  <c r="T128" i="2"/>
  <c r="AJ128" i="2" s="1"/>
  <c r="Z128" i="2"/>
  <c r="Z130" i="2"/>
  <c r="AH130" i="2" s="1"/>
  <c r="T132" i="2"/>
  <c r="Z132" i="2"/>
  <c r="Z134" i="2"/>
  <c r="T136" i="2"/>
  <c r="Z136" i="2"/>
  <c r="Z138" i="2"/>
  <c r="AH138" i="2"/>
  <c r="Z140" i="2"/>
  <c r="Z142" i="2"/>
  <c r="AH142" i="2" s="1"/>
  <c r="Z144" i="2"/>
  <c r="Z146" i="2"/>
  <c r="Z148" i="2"/>
  <c r="Z150" i="2"/>
  <c r="AH150" i="2" s="1"/>
  <c r="Z152" i="2"/>
  <c r="Z154" i="2"/>
  <c r="Y156" i="2"/>
  <c r="AH156" i="2" s="1"/>
  <c r="Y160" i="2"/>
  <c r="Y164" i="2"/>
  <c r="Y168" i="2"/>
  <c r="Y172" i="2"/>
  <c r="Z176" i="2"/>
  <c r="Z180" i="2"/>
  <c r="AH180" i="2" s="1"/>
  <c r="Z184" i="2"/>
  <c r="Z188" i="2"/>
  <c r="Y3" i="2"/>
  <c r="AH3" i="2"/>
  <c r="Y77" i="2"/>
  <c r="Y85" i="2"/>
  <c r="AH85" i="2" s="1"/>
  <c r="Y93" i="2"/>
  <c r="AH93" i="2" s="1"/>
  <c r="Y101" i="2"/>
  <c r="AH101" i="2" s="1"/>
  <c r="Y125" i="2"/>
  <c r="Y133" i="2"/>
  <c r="Y155" i="2"/>
  <c r="Y157" i="2"/>
  <c r="Z159" i="2"/>
  <c r="Y163" i="2"/>
  <c r="Y165" i="2"/>
  <c r="Z167" i="2"/>
  <c r="Y5" i="2"/>
  <c r="AH5" i="2"/>
  <c r="Y13" i="2"/>
  <c r="Y17" i="2"/>
  <c r="AH17" i="2" s="1"/>
  <c r="Y21" i="2"/>
  <c r="Y29" i="2"/>
  <c r="Y33" i="2"/>
  <c r="AH33" i="2" s="1"/>
  <c r="Y37" i="2"/>
  <c r="AH37" i="2" s="1"/>
  <c r="Y45" i="2"/>
  <c r="AH45" i="2" s="1"/>
  <c r="Y49" i="2"/>
  <c r="Y53" i="2"/>
  <c r="AH53" i="2" s="1"/>
  <c r="Y61" i="2"/>
  <c r="Y65" i="2"/>
  <c r="AH65" i="2" s="1"/>
  <c r="Y69" i="2"/>
  <c r="AI69" i="2"/>
  <c r="Y81" i="2"/>
  <c r="Y97" i="2"/>
  <c r="AH97" i="2" s="1"/>
  <c r="Y113" i="2"/>
  <c r="Y161" i="2"/>
  <c r="AH161" i="2" s="1"/>
  <c r="D28" i="12"/>
  <c r="D37" i="12"/>
  <c r="D38" i="12" s="1"/>
  <c r="D19" i="12"/>
  <c r="AG4" i="2"/>
  <c r="AH4" i="2"/>
  <c r="AG6" i="2"/>
  <c r="AG8" i="2"/>
  <c r="AG12" i="2"/>
  <c r="AG16" i="2"/>
  <c r="AG18" i="2"/>
  <c r="AG20" i="2"/>
  <c r="AG24" i="2"/>
  <c r="AH26" i="2"/>
  <c r="AG32" i="2"/>
  <c r="AH36" i="2"/>
  <c r="AG40" i="2"/>
  <c r="AH42" i="2"/>
  <c r="AG48" i="2"/>
  <c r="AG52" i="2"/>
  <c r="AG54" i="2"/>
  <c r="AH56" i="2"/>
  <c r="AG58" i="2"/>
  <c r="AH58" i="2"/>
  <c r="AG62" i="2"/>
  <c r="AG64" i="2"/>
  <c r="AG66" i="2"/>
  <c r="AH68" i="2"/>
  <c r="AG70" i="2"/>
  <c r="AH70" i="2"/>
  <c r="AG76" i="2"/>
  <c r="AH80" i="2"/>
  <c r="AG84" i="2"/>
  <c r="AH88" i="2"/>
  <c r="AH96" i="2"/>
  <c r="AH104" i="2"/>
  <c r="AG108" i="2"/>
  <c r="AH110" i="2"/>
  <c r="AG145" i="2"/>
  <c r="AG147" i="2"/>
  <c r="AG153" i="2"/>
  <c r="AG179" i="2"/>
  <c r="AF4" i="2"/>
  <c r="AD4" i="2"/>
  <c r="AI4" i="2"/>
  <c r="AF8" i="2"/>
  <c r="AD8" i="2"/>
  <c r="AF12" i="2"/>
  <c r="AF16" i="2"/>
  <c r="AD16" i="2"/>
  <c r="AI16" i="2"/>
  <c r="AF20" i="2"/>
  <c r="AD20" i="2"/>
  <c r="AF24" i="2"/>
  <c r="AD24" i="2"/>
  <c r="AF28" i="2"/>
  <c r="AF32" i="2"/>
  <c r="AD32" i="2"/>
  <c r="AI32" i="2"/>
  <c r="AF36" i="2"/>
  <c r="AD36" i="2"/>
  <c r="AI36" i="2"/>
  <c r="AE4" i="2"/>
  <c r="AE6" i="2"/>
  <c r="AE8" i="2"/>
  <c r="AE10" i="2"/>
  <c r="AE12" i="2"/>
  <c r="AE16" i="2"/>
  <c r="AJ16" i="2"/>
  <c r="AE18" i="2"/>
  <c r="AJ18" i="2"/>
  <c r="AE20" i="2"/>
  <c r="AE24" i="2"/>
  <c r="AJ24" i="2"/>
  <c r="AE26" i="2"/>
  <c r="AJ26" i="2"/>
  <c r="AE30" i="2"/>
  <c r="AE32" i="2"/>
  <c r="AE34" i="2"/>
  <c r="AE38" i="2"/>
  <c r="AE40" i="2"/>
  <c r="AE42" i="2"/>
  <c r="AE44" i="2"/>
  <c r="AE46" i="2"/>
  <c r="AE48" i="2"/>
  <c r="AE50" i="2"/>
  <c r="AJ50" i="2"/>
  <c r="AE52" i="2"/>
  <c r="AE54" i="2"/>
  <c r="AE56" i="2"/>
  <c r="AE58" i="2"/>
  <c r="AE62" i="2"/>
  <c r="AE66" i="2"/>
  <c r="AE68" i="2"/>
  <c r="AE70" i="2"/>
  <c r="AE76" i="2"/>
  <c r="AE86" i="2"/>
  <c r="AE88" i="2"/>
  <c r="AE92" i="2"/>
  <c r="AE100" i="2"/>
  <c r="AE104" i="2"/>
  <c r="AE106" i="2"/>
  <c r="AE108" i="2"/>
  <c r="AE110" i="2"/>
  <c r="AJ110" i="2"/>
  <c r="AE114" i="2"/>
  <c r="AF116" i="2"/>
  <c r="AD116" i="2"/>
  <c r="AG116" i="2"/>
  <c r="AF118" i="2"/>
  <c r="AI118" i="2"/>
  <c r="AH120" i="2"/>
  <c r="AF120" i="2"/>
  <c r="AD120" i="2"/>
  <c r="AF122" i="2"/>
  <c r="AI122" i="2"/>
  <c r="AF124" i="2"/>
  <c r="AD124" i="2"/>
  <c r="AG124" i="2"/>
  <c r="AF126" i="2"/>
  <c r="AI126" i="2"/>
  <c r="AH128" i="2"/>
  <c r="AF128" i="2"/>
  <c r="AD128" i="2"/>
  <c r="AG128" i="2"/>
  <c r="AF130" i="2"/>
  <c r="AD130" i="2"/>
  <c r="AH132" i="2"/>
  <c r="AF132" i="2"/>
  <c r="AD132" i="2"/>
  <c r="AG132" i="2"/>
  <c r="AF134" i="2"/>
  <c r="AI134" i="2"/>
  <c r="AF136" i="2"/>
  <c r="AI136" i="2"/>
  <c r="AF138" i="2"/>
  <c r="AD138" i="2"/>
  <c r="AG138" i="2"/>
  <c r="AH140" i="2"/>
  <c r="AF140" i="2"/>
  <c r="AD140" i="2"/>
  <c r="AI140" i="2"/>
  <c r="AG140" i="2"/>
  <c r="AF142" i="2"/>
  <c r="AH144" i="2"/>
  <c r="AF144" i="2"/>
  <c r="AG144" i="2"/>
  <c r="AF146" i="2"/>
  <c r="AI146" i="2"/>
  <c r="AF148" i="2"/>
  <c r="AG148" i="2"/>
  <c r="AF5" i="2"/>
  <c r="AH7" i="2"/>
  <c r="AF7" i="2"/>
  <c r="AI7" i="2"/>
  <c r="AH9" i="2"/>
  <c r="AF9" i="2"/>
  <c r="AF11" i="2"/>
  <c r="AH13" i="2"/>
  <c r="AF13" i="2"/>
  <c r="AG13" i="2"/>
  <c r="AF15" i="2"/>
  <c r="AI15" i="2"/>
  <c r="AF17" i="2"/>
  <c r="AI17" i="2"/>
  <c r="AF19" i="2"/>
  <c r="AH21" i="2"/>
  <c r="AF21" i="2"/>
  <c r="AH23" i="2"/>
  <c r="AF23" i="2"/>
  <c r="AD23" i="2"/>
  <c r="AF25" i="2"/>
  <c r="AH27" i="2"/>
  <c r="AF27" i="2"/>
  <c r="AD27" i="2"/>
  <c r="AF29" i="2"/>
  <c r="AG29" i="2"/>
  <c r="AF31" i="2"/>
  <c r="AF33" i="2"/>
  <c r="AH35" i="2"/>
  <c r="AF35" i="2"/>
  <c r="AI35" i="2"/>
  <c r="AF37" i="2"/>
  <c r="AF39" i="2"/>
  <c r="AG39" i="2"/>
  <c r="AF43" i="2"/>
  <c r="AF45" i="2"/>
  <c r="AG45" i="2"/>
  <c r="AF47" i="2"/>
  <c r="AF49" i="2"/>
  <c r="AD49" i="2"/>
  <c r="AF51" i="2"/>
  <c r="AG51" i="2"/>
  <c r="AF53" i="2"/>
  <c r="AF55" i="2"/>
  <c r="AH57" i="2"/>
  <c r="AF57" i="2"/>
  <c r="AI57" i="2"/>
  <c r="AF59" i="2"/>
  <c r="AF61" i="2"/>
  <c r="AF63" i="2"/>
  <c r="AF65" i="2"/>
  <c r="AG65" i="2"/>
  <c r="AF67" i="2"/>
  <c r="AI67" i="2"/>
  <c r="AF69" i="2"/>
  <c r="AH71" i="2"/>
  <c r="AF71" i="2"/>
  <c r="AD71" i="2"/>
  <c r="AF73" i="2"/>
  <c r="AH75" i="2"/>
  <c r="AF75" i="2"/>
  <c r="AG75" i="2"/>
  <c r="AF77" i="2"/>
  <c r="AI77" i="2"/>
  <c r="AF79" i="2"/>
  <c r="AF81" i="2"/>
  <c r="AI81" i="2"/>
  <c r="AF83" i="2"/>
  <c r="AF85" i="2"/>
  <c r="AD85" i="2"/>
  <c r="AG85" i="2"/>
  <c r="AF87" i="2"/>
  <c r="AF89" i="2"/>
  <c r="AI89" i="2"/>
  <c r="AH91" i="2"/>
  <c r="AF91" i="2"/>
  <c r="AG91" i="2"/>
  <c r="AF93" i="2"/>
  <c r="AI93" i="2"/>
  <c r="AF95" i="2"/>
  <c r="AG95" i="2"/>
  <c r="AF97" i="2"/>
  <c r="AG97" i="2"/>
  <c r="AF99" i="2"/>
  <c r="AI99" i="2"/>
  <c r="AF101" i="2"/>
  <c r="AD101" i="2"/>
  <c r="AG101" i="2"/>
  <c r="AF103" i="2"/>
  <c r="AF105" i="2"/>
  <c r="AD105" i="2"/>
  <c r="AF107" i="2"/>
  <c r="AF109" i="2"/>
  <c r="AF111" i="2"/>
  <c r="AH113" i="2"/>
  <c r="AF113" i="2"/>
  <c r="AE119" i="2"/>
  <c r="AE121" i="2"/>
  <c r="AE129" i="2"/>
  <c r="AE131" i="2"/>
  <c r="AJ131" i="2"/>
  <c r="AE149" i="2"/>
  <c r="AF150" i="2"/>
  <c r="AI150" i="2"/>
  <c r="AH152" i="2"/>
  <c r="AF152" i="2"/>
  <c r="AD152" i="2"/>
  <c r="AG152" i="2"/>
  <c r="AF154" i="2"/>
  <c r="AI154" i="2"/>
  <c r="AF156" i="2"/>
  <c r="AD156" i="2"/>
  <c r="AI156" i="2"/>
  <c r="AG156" i="2"/>
  <c r="AF158" i="2"/>
  <c r="AE159" i="2"/>
  <c r="AF160" i="2"/>
  <c r="AD160" i="2"/>
  <c r="AG160" i="2"/>
  <c r="AH164" i="2"/>
  <c r="AG164" i="2"/>
  <c r="AH168" i="2"/>
  <c r="AH172" i="2"/>
  <c r="AG172" i="2"/>
  <c r="AH174" i="2"/>
  <c r="AH176" i="2"/>
  <c r="AG180" i="2"/>
  <c r="AH184" i="2"/>
  <c r="AG184" i="2"/>
  <c r="AG188" i="2"/>
  <c r="AF3" i="2"/>
  <c r="AD3" i="2"/>
  <c r="AG3" i="2"/>
  <c r="AF6" i="2"/>
  <c r="AD6" i="2"/>
  <c r="AF10" i="2"/>
  <c r="AI10" i="2"/>
  <c r="AF14" i="2"/>
  <c r="AD14" i="2"/>
  <c r="AF18" i="2"/>
  <c r="AI18" i="2"/>
  <c r="AF22" i="2"/>
  <c r="AD22" i="2"/>
  <c r="AF26" i="2"/>
  <c r="AI26" i="2"/>
  <c r="AF30" i="2"/>
  <c r="AD30" i="2"/>
  <c r="AF34" i="2"/>
  <c r="AI34" i="2"/>
  <c r="AF38" i="2"/>
  <c r="AD38" i="2"/>
  <c r="AF40" i="2"/>
  <c r="AD40" i="2"/>
  <c r="AF42" i="2"/>
  <c r="AF44" i="2"/>
  <c r="AI44" i="2"/>
  <c r="AF46" i="2"/>
  <c r="AD46" i="2"/>
  <c r="AF48" i="2"/>
  <c r="AD48" i="2"/>
  <c r="AF50" i="2"/>
  <c r="AF52" i="2"/>
  <c r="AD52" i="2"/>
  <c r="AI52" i="2"/>
  <c r="AF54" i="2"/>
  <c r="AD54" i="2"/>
  <c r="AI54" i="2"/>
  <c r="AF56" i="2"/>
  <c r="AI56" i="2"/>
  <c r="AF58" i="2"/>
  <c r="AD58" i="2"/>
  <c r="AI58" i="2"/>
  <c r="AF60" i="2"/>
  <c r="AD60" i="2"/>
  <c r="AI60" i="2"/>
  <c r="AF62" i="2"/>
  <c r="AD62" i="2"/>
  <c r="AI62" i="2"/>
  <c r="AF64" i="2"/>
  <c r="AI64" i="2"/>
  <c r="AF66" i="2"/>
  <c r="AD66" i="2"/>
  <c r="AI66" i="2"/>
  <c r="AF68" i="2"/>
  <c r="AD68" i="2"/>
  <c r="AI68" i="2"/>
  <c r="AF70" i="2"/>
  <c r="AD70" i="2"/>
  <c r="AF72" i="2"/>
  <c r="AI72" i="2"/>
  <c r="AF74" i="2"/>
  <c r="AD74" i="2"/>
  <c r="AI74" i="2"/>
  <c r="AF76" i="2"/>
  <c r="AI76" i="2"/>
  <c r="AF78" i="2"/>
  <c r="AD78" i="2"/>
  <c r="AI78" i="2"/>
  <c r="AF80" i="2"/>
  <c r="AI80" i="2"/>
  <c r="AF82" i="2"/>
  <c r="AD82" i="2"/>
  <c r="AI82" i="2"/>
  <c r="AF84" i="2"/>
  <c r="AI84" i="2"/>
  <c r="AF86" i="2"/>
  <c r="AD86" i="2"/>
  <c r="AI86" i="2"/>
  <c r="AF88" i="2"/>
  <c r="AI88" i="2"/>
  <c r="AF90" i="2"/>
  <c r="AD90" i="2"/>
  <c r="AI90" i="2"/>
  <c r="AF92" i="2"/>
  <c r="AI92" i="2"/>
  <c r="AF94" i="2"/>
  <c r="AD94" i="2"/>
  <c r="AF96" i="2"/>
  <c r="AI96" i="2"/>
  <c r="AF98" i="2"/>
  <c r="AD98" i="2"/>
  <c r="AF100" i="2"/>
  <c r="AI100" i="2"/>
  <c r="AF102" i="2"/>
  <c r="AD102" i="2"/>
  <c r="AF104" i="2"/>
  <c r="AI104" i="2"/>
  <c r="AF106" i="2"/>
  <c r="AD106" i="2"/>
  <c r="AF108" i="2"/>
  <c r="AI108" i="2"/>
  <c r="AF110" i="2"/>
  <c r="AD110" i="2"/>
  <c r="AF112" i="2"/>
  <c r="AI112" i="2"/>
  <c r="AF114" i="2"/>
  <c r="AD114" i="2"/>
  <c r="AE116" i="2"/>
  <c r="AE118" i="2"/>
  <c r="AJ118" i="2"/>
  <c r="AE122" i="2"/>
  <c r="AE124" i="2"/>
  <c r="AE126" i="2"/>
  <c r="AE128" i="2"/>
  <c r="AE130" i="2"/>
  <c r="AE132" i="2"/>
  <c r="AE136" i="2"/>
  <c r="AE138" i="2"/>
  <c r="AE140" i="2"/>
  <c r="AJ140" i="2"/>
  <c r="AE142" i="2"/>
  <c r="AE144" i="2"/>
  <c r="AJ144" i="2"/>
  <c r="AE146" i="2"/>
  <c r="AE148" i="2"/>
  <c r="AE5" i="2"/>
  <c r="AJ5" i="2"/>
  <c r="AE7" i="2"/>
  <c r="AE9" i="2"/>
  <c r="AJ9" i="2"/>
  <c r="AE11" i="2"/>
  <c r="AE13" i="2"/>
  <c r="AJ13" i="2"/>
  <c r="AE15" i="2"/>
  <c r="AE17" i="2"/>
  <c r="AJ17" i="2"/>
  <c r="AE19" i="2"/>
  <c r="AE21" i="2"/>
  <c r="AJ21" i="2"/>
  <c r="AE23" i="2"/>
  <c r="AE25" i="2"/>
  <c r="AJ25" i="2"/>
  <c r="AE27" i="2"/>
  <c r="AE29" i="2"/>
  <c r="AJ29" i="2"/>
  <c r="AE31" i="2"/>
  <c r="AE33" i="2"/>
  <c r="AJ33" i="2"/>
  <c r="AE35" i="2"/>
  <c r="AE37" i="2"/>
  <c r="AJ37" i="2"/>
  <c r="AE39" i="2"/>
  <c r="AF41" i="2"/>
  <c r="AE41" i="2"/>
  <c r="AJ41" i="2"/>
  <c r="AE43" i="2"/>
  <c r="AE45" i="2"/>
  <c r="AE47" i="2"/>
  <c r="AE49" i="2"/>
  <c r="AE51" i="2"/>
  <c r="AE53" i="2"/>
  <c r="AJ53" i="2"/>
  <c r="AE55" i="2"/>
  <c r="AE57" i="2"/>
  <c r="AJ57" i="2"/>
  <c r="AE59" i="2"/>
  <c r="AE61" i="2"/>
  <c r="AJ61" i="2"/>
  <c r="AE63" i="2"/>
  <c r="AE65" i="2"/>
  <c r="AE67" i="2"/>
  <c r="AE69" i="2"/>
  <c r="AE71" i="2"/>
  <c r="AE73" i="2"/>
  <c r="AE75" i="2"/>
  <c r="AE77" i="2"/>
  <c r="AE79" i="2"/>
  <c r="AJ79" i="2"/>
  <c r="AE81" i="2"/>
  <c r="AE83" i="2"/>
  <c r="AE85" i="2"/>
  <c r="AJ85" i="2"/>
  <c r="AJ87" i="2"/>
  <c r="AJ89" i="2"/>
  <c r="AJ91" i="2"/>
  <c r="AE95" i="2"/>
  <c r="AJ95" i="2"/>
  <c r="AE97" i="2"/>
  <c r="AE99" i="2"/>
  <c r="AE101" i="2"/>
  <c r="AJ101" i="2"/>
  <c r="AE103" i="2"/>
  <c r="AE105" i="2"/>
  <c r="AE107" i="2"/>
  <c r="AE109" i="2"/>
  <c r="AF115" i="2"/>
  <c r="AF117" i="2"/>
  <c r="AF119" i="2"/>
  <c r="AF121" i="2"/>
  <c r="AD121" i="2"/>
  <c r="AF123" i="2"/>
  <c r="AF125" i="2"/>
  <c r="AF127" i="2"/>
  <c r="AF129" i="2"/>
  <c r="AF131" i="2"/>
  <c r="AF133" i="2"/>
  <c r="AF135" i="2"/>
  <c r="AF137" i="2"/>
  <c r="AF139" i="2"/>
  <c r="AF141" i="2"/>
  <c r="AF143" i="2"/>
  <c r="AF145" i="2"/>
  <c r="AD145" i="2"/>
  <c r="AF147" i="2"/>
  <c r="AD147" i="2"/>
  <c r="AF149" i="2"/>
  <c r="AE150" i="2"/>
  <c r="AF151" i="2"/>
  <c r="AE152" i="2"/>
  <c r="AJ152" i="2"/>
  <c r="AF153" i="2"/>
  <c r="AD153" i="2"/>
  <c r="AE154" i="2"/>
  <c r="AF155" i="2"/>
  <c r="AE156" i="2"/>
  <c r="AJ156" i="2"/>
  <c r="AF157" i="2"/>
  <c r="AE158" i="2"/>
  <c r="AJ158" i="2"/>
  <c r="AF159" i="2"/>
  <c r="AE160" i="2"/>
  <c r="AE3" i="2"/>
  <c r="AJ4" i="2"/>
  <c r="AJ94" i="2"/>
  <c r="AI45" i="2"/>
  <c r="AI23" i="2"/>
  <c r="AI13" i="2"/>
  <c r="AI9" i="2"/>
  <c r="AJ56" i="2"/>
  <c r="AI160" i="2"/>
  <c r="AH106" i="2"/>
  <c r="AH100" i="2"/>
  <c r="AJ100" i="2"/>
  <c r="AH76" i="2"/>
  <c r="AH32" i="2"/>
  <c r="AH20" i="2"/>
  <c r="AH54" i="2"/>
  <c r="AH22" i="2"/>
  <c r="AJ98" i="2"/>
  <c r="AH38" i="2"/>
  <c r="AJ38" i="2"/>
  <c r="AJ10" i="2"/>
  <c r="AD81" i="2"/>
  <c r="AG81" i="2"/>
  <c r="AI71" i="2"/>
  <c r="AD67" i="2"/>
  <c r="AD63" i="2"/>
  <c r="AI51" i="2"/>
  <c r="AD47" i="2"/>
  <c r="AG47" i="2"/>
  <c r="AD43" i="2"/>
  <c r="AG43" i="2"/>
  <c r="AI27" i="2"/>
  <c r="AH61" i="2"/>
  <c r="AJ108" i="2"/>
  <c r="AJ92" i="2"/>
  <c r="AH84" i="2"/>
  <c r="AJ84" i="2"/>
  <c r="AH52" i="2"/>
  <c r="AJ52" i="2"/>
  <c r="AJ40" i="2"/>
  <c r="AH12" i="2"/>
  <c r="AJ12" i="2"/>
  <c r="AH8" i="2"/>
  <c r="AJ8" i="2"/>
  <c r="AH46" i="2"/>
  <c r="AJ46" i="2"/>
  <c r="AH14" i="2"/>
  <c r="AJ14" i="2"/>
  <c r="AG114" i="2"/>
  <c r="AJ114" i="2"/>
  <c r="AH78" i="2"/>
  <c r="AJ78" i="2"/>
  <c r="AH62" i="2"/>
  <c r="AJ62" i="2"/>
  <c r="AH34" i="2"/>
  <c r="AJ34" i="2"/>
  <c r="AI95" i="2"/>
  <c r="AD89" i="2"/>
  <c r="AG89" i="2"/>
  <c r="AD73" i="2"/>
  <c r="AG73" i="2"/>
  <c r="AD57" i="2"/>
  <c r="AG57" i="2"/>
  <c r="AD53" i="2"/>
  <c r="AG53" i="2"/>
  <c r="AD37" i="2"/>
  <c r="AG37" i="2"/>
  <c r="AD35" i="2"/>
  <c r="AG35" i="2"/>
  <c r="AD31" i="2"/>
  <c r="AG31" i="2"/>
  <c r="AI29" i="2"/>
  <c r="AD25" i="2"/>
  <c r="AG25" i="2"/>
  <c r="AD21" i="2"/>
  <c r="AG21" i="2"/>
  <c r="AD17" i="2"/>
  <c r="AG17" i="2"/>
  <c r="AD15" i="2"/>
  <c r="AG15" i="2"/>
  <c r="AD11" i="2"/>
  <c r="AG11" i="2"/>
  <c r="AD7" i="2"/>
  <c r="AG7" i="2"/>
  <c r="AI5" i="2"/>
  <c r="AJ64" i="2"/>
  <c r="AD146" i="2"/>
  <c r="AG146" i="2"/>
  <c r="AJ154" i="2"/>
  <c r="AI153" i="2"/>
  <c r="AJ150" i="2"/>
  <c r="AI121" i="2"/>
  <c r="AD119" i="2"/>
  <c r="AJ93" i="2"/>
  <c r="AJ83" i="2"/>
  <c r="AG79" i="2"/>
  <c r="AD41" i="2"/>
  <c r="AJ146" i="2"/>
  <c r="AJ142" i="2"/>
  <c r="AJ138" i="2"/>
  <c r="AJ136" i="2"/>
  <c r="AJ134" i="2"/>
  <c r="AJ130" i="2"/>
  <c r="AJ122" i="2"/>
  <c r="AJ120" i="2"/>
  <c r="AJ116" i="2"/>
  <c r="AI50" i="2"/>
  <c r="AI42" i="2"/>
  <c r="AI38" i="2"/>
  <c r="AI30" i="2"/>
  <c r="AD26" i="2"/>
  <c r="AI22" i="2"/>
  <c r="AI14" i="2"/>
  <c r="AD10" i="2"/>
  <c r="AJ159" i="2"/>
  <c r="AE157" i="2"/>
  <c r="AG154" i="2"/>
  <c r="AG150" i="2"/>
  <c r="AG111" i="2"/>
  <c r="AG107" i="2"/>
  <c r="AG103" i="2"/>
  <c r="AG99" i="2"/>
  <c r="AD95" i="2"/>
  <c r="AD91" i="2"/>
  <c r="AD87" i="2"/>
  <c r="AI85" i="2"/>
  <c r="AD83" i="2"/>
  <c r="AI79" i="2"/>
  <c r="AD75" i="2"/>
  <c r="AG71" i="2"/>
  <c r="AD69" i="2"/>
  <c r="AH69" i="2"/>
  <c r="AD65" i="2"/>
  <c r="AD59" i="2"/>
  <c r="AG55" i="2"/>
  <c r="AI53" i="2"/>
  <c r="AD51" i="2"/>
  <c r="AI47" i="2"/>
  <c r="AD45" i="2"/>
  <c r="AD39" i="2"/>
  <c r="AG33" i="2"/>
  <c r="AI31" i="2"/>
  <c r="AD29" i="2"/>
  <c r="AG27" i="2"/>
  <c r="AI25" i="2"/>
  <c r="AG23" i="2"/>
  <c r="AI21" i="2"/>
  <c r="AD19" i="2"/>
  <c r="AD13" i="2"/>
  <c r="AD9" i="2"/>
  <c r="AG5" i="2"/>
  <c r="AD148" i="2"/>
  <c r="AD144" i="2"/>
  <c r="AE112" i="2"/>
  <c r="AE102" i="2"/>
  <c r="AE98" i="2"/>
  <c r="AE94" i="2"/>
  <c r="AE90" i="2"/>
  <c r="AE72" i="2"/>
  <c r="AE64" i="2"/>
  <c r="AE60" i="2"/>
  <c r="AE28" i="2"/>
  <c r="AG112" i="2"/>
  <c r="AG104" i="2"/>
  <c r="AG102" i="2"/>
  <c r="AG98" i="2"/>
  <c r="AG96" i="2"/>
  <c r="AG94" i="2"/>
  <c r="AG90" i="2"/>
  <c r="AG74" i="2"/>
  <c r="AG68" i="2"/>
  <c r="AG60" i="2"/>
  <c r="AG56" i="2"/>
  <c r="AG28" i="2"/>
  <c r="AG142" i="2"/>
  <c r="AK29" i="2"/>
  <c r="AX29" i="2" s="1"/>
  <c r="BA29" i="2" s="1"/>
  <c r="BB29" i="2" s="1"/>
  <c r="AK33" i="2"/>
  <c r="AK37" i="2"/>
  <c r="AK41" i="2"/>
  <c r="AK32" i="2"/>
  <c r="AK36" i="2"/>
  <c r="AK40" i="2"/>
  <c r="AK31" i="2"/>
  <c r="AK35" i="2"/>
  <c r="AK39" i="2"/>
  <c r="AK30" i="2"/>
  <c r="AK34" i="2"/>
  <c r="AK38" i="2"/>
  <c r="AK97" i="2"/>
  <c r="AK101" i="2"/>
  <c r="AK105" i="2"/>
  <c r="AK96" i="2"/>
  <c r="AK100" i="2"/>
  <c r="AK104" i="2"/>
  <c r="AK95" i="2"/>
  <c r="AK99" i="2"/>
  <c r="AK103" i="2"/>
  <c r="AK94" i="2"/>
  <c r="AK98" i="2"/>
  <c r="AK102" i="2"/>
  <c r="AK106" i="2"/>
  <c r="AK45" i="2"/>
  <c r="AK49" i="2"/>
  <c r="AK53" i="2"/>
  <c r="AK44" i="2"/>
  <c r="AK48" i="2"/>
  <c r="AK52" i="2"/>
  <c r="AK43" i="2"/>
  <c r="AK47" i="2"/>
  <c r="AK51" i="2"/>
  <c r="AK42" i="2"/>
  <c r="AX42" i="2" s="1"/>
  <c r="BA42" i="2" s="1"/>
  <c r="BB42" i="2" s="1"/>
  <c r="AK46" i="2"/>
  <c r="AK50" i="2"/>
  <c r="AK54" i="2"/>
  <c r="Z13" i="1"/>
  <c r="AA13" i="1" s="1"/>
  <c r="AK55" i="2"/>
  <c r="AX55" i="2" s="1"/>
  <c r="BA55" i="2" s="1"/>
  <c r="BB55" i="2" s="1"/>
  <c r="AK59" i="2"/>
  <c r="AK63" i="2"/>
  <c r="AK67" i="2"/>
  <c r="AK58" i="2"/>
  <c r="AK62" i="2"/>
  <c r="AK66" i="2"/>
  <c r="AK57" i="2"/>
  <c r="AK61" i="2"/>
  <c r="AK65" i="2"/>
  <c r="AK56" i="2"/>
  <c r="AK60" i="2"/>
  <c r="AK64" i="2"/>
  <c r="Z4" i="1"/>
  <c r="AA4" i="1" s="1"/>
  <c r="AK5" i="2"/>
  <c r="AK9" i="2"/>
  <c r="AK13" i="2"/>
  <c r="AK4" i="2"/>
  <c r="AK8" i="2"/>
  <c r="AK12" i="2"/>
  <c r="AK3" i="2"/>
  <c r="AU3" i="2" s="1"/>
  <c r="AK7" i="2"/>
  <c r="AK11" i="2"/>
  <c r="AK15" i="2"/>
  <c r="AK6" i="2"/>
  <c r="AK10" i="2"/>
  <c r="AK14" i="2"/>
  <c r="AK107" i="2"/>
  <c r="AK111" i="2"/>
  <c r="AK115" i="2"/>
  <c r="AK110" i="2"/>
  <c r="AK114" i="2"/>
  <c r="AK109" i="2"/>
  <c r="AK113" i="2"/>
  <c r="AK108" i="2"/>
  <c r="AK112" i="2"/>
  <c r="AL115" i="2"/>
  <c r="AL111" i="2"/>
  <c r="AL107" i="2"/>
  <c r="AL114" i="2"/>
  <c r="AL110" i="2"/>
  <c r="AL113" i="2"/>
  <c r="AL109" i="2"/>
  <c r="AL112" i="2"/>
  <c r="AL108" i="2"/>
  <c r="AH135" i="2"/>
  <c r="AH95" i="2"/>
  <c r="AH166" i="2"/>
  <c r="AG36" i="2"/>
  <c r="AJ36" i="2"/>
  <c r="AD131" i="2"/>
  <c r="AG131" i="2"/>
  <c r="AG121" i="2"/>
  <c r="AD107" i="2"/>
  <c r="AH24" i="2"/>
  <c r="AI24" i="2"/>
  <c r="AH28" i="2"/>
  <c r="AG44" i="2"/>
  <c r="AH74" i="2"/>
  <c r="AH82" i="2"/>
  <c r="AI83" i="2"/>
  <c r="AH83" i="2"/>
  <c r="AH29" i="2"/>
  <c r="AH163" i="2"/>
  <c r="AH125" i="2"/>
  <c r="AJ112" i="2"/>
  <c r="AJ74" i="2"/>
  <c r="AE74" i="2"/>
  <c r="AJ28" i="2"/>
  <c r="AH66" i="2"/>
  <c r="AG78" i="2"/>
  <c r="AG86" i="2"/>
  <c r="AI144" i="2"/>
  <c r="AG69" i="2"/>
  <c r="AI55" i="2"/>
  <c r="AG42" i="2"/>
  <c r="AI152" i="2"/>
  <c r="AI148" i="2"/>
  <c r="AD142" i="2"/>
  <c r="C22" i="19"/>
  <c r="E22" i="19"/>
  <c r="G22" i="19"/>
  <c r="I22" i="19"/>
  <c r="C23" i="19"/>
  <c r="E23" i="19"/>
  <c r="G23" i="19"/>
  <c r="I23" i="19"/>
  <c r="D22" i="19"/>
  <c r="F22" i="19"/>
  <c r="H22" i="19"/>
  <c r="J22" i="19"/>
  <c r="D23" i="19"/>
  <c r="F23" i="19"/>
  <c r="H23" i="19"/>
  <c r="J23" i="19"/>
  <c r="B23" i="19"/>
  <c r="B22" i="19"/>
  <c r="C19" i="19"/>
  <c r="E19" i="19"/>
  <c r="G19" i="19"/>
  <c r="I19" i="19"/>
  <c r="C20" i="19"/>
  <c r="E20" i="19"/>
  <c r="G20" i="19"/>
  <c r="I20" i="19"/>
  <c r="D19" i="19"/>
  <c r="F19" i="19"/>
  <c r="H19" i="19"/>
  <c r="J19" i="19"/>
  <c r="D20" i="19"/>
  <c r="F20" i="19"/>
  <c r="H20" i="19"/>
  <c r="J20" i="19"/>
  <c r="B20" i="19"/>
  <c r="B19" i="19"/>
  <c r="C13" i="19"/>
  <c r="E13" i="19"/>
  <c r="G13" i="19"/>
  <c r="I13" i="19"/>
  <c r="D13" i="19"/>
  <c r="F13" i="19"/>
  <c r="H13" i="19"/>
  <c r="J13" i="19"/>
  <c r="B13" i="19"/>
  <c r="C12" i="19"/>
  <c r="E12" i="19"/>
  <c r="G12" i="19"/>
  <c r="I12" i="19"/>
  <c r="D12" i="19"/>
  <c r="F12" i="19"/>
  <c r="H12" i="19"/>
  <c r="J12" i="19"/>
  <c r="B12" i="19"/>
  <c r="C11" i="19"/>
  <c r="E11" i="19"/>
  <c r="G11" i="19"/>
  <c r="I11" i="19"/>
  <c r="D11" i="19"/>
  <c r="F11" i="19"/>
  <c r="H11" i="19"/>
  <c r="J11" i="19"/>
  <c r="B11" i="19"/>
  <c r="C9" i="19"/>
  <c r="E9" i="19"/>
  <c r="G9" i="19"/>
  <c r="I9" i="19"/>
  <c r="D9" i="19"/>
  <c r="F9" i="19"/>
  <c r="H9" i="19"/>
  <c r="J9" i="19"/>
  <c r="B9" i="19"/>
  <c r="C8" i="19"/>
  <c r="E8" i="19"/>
  <c r="G8" i="19"/>
  <c r="I8" i="19"/>
  <c r="D8" i="19"/>
  <c r="F8" i="19"/>
  <c r="H8" i="19"/>
  <c r="J8" i="19"/>
  <c r="B8" i="19"/>
  <c r="C6" i="19"/>
  <c r="E6" i="19"/>
  <c r="G6" i="19"/>
  <c r="I6" i="19"/>
  <c r="D6" i="19"/>
  <c r="F6" i="19"/>
  <c r="H6" i="19"/>
  <c r="J6" i="19"/>
  <c r="B6" i="19"/>
  <c r="C5" i="19"/>
  <c r="E5" i="19"/>
  <c r="G5" i="19"/>
  <c r="I5" i="19"/>
  <c r="D5" i="19"/>
  <c r="F5" i="19"/>
  <c r="H5" i="19"/>
  <c r="J5" i="19"/>
  <c r="B5" i="19"/>
  <c r="C4" i="19"/>
  <c r="E4" i="19"/>
  <c r="G4" i="19"/>
  <c r="I4" i="19"/>
  <c r="D4" i="19"/>
  <c r="F4" i="19"/>
  <c r="H4" i="19"/>
  <c r="J4" i="19"/>
  <c r="B4" i="19"/>
  <c r="C3" i="19"/>
  <c r="E3" i="19"/>
  <c r="G3" i="19"/>
  <c r="I3" i="19"/>
  <c r="D3" i="19"/>
  <c r="F3" i="19"/>
  <c r="H3" i="19"/>
  <c r="J3" i="19"/>
  <c r="B3" i="19"/>
  <c r="C2" i="19"/>
  <c r="E2" i="19"/>
  <c r="G2" i="19"/>
  <c r="I2" i="19"/>
  <c r="D2" i="19"/>
  <c r="F2" i="19"/>
  <c r="H2" i="19"/>
  <c r="J2" i="19"/>
  <c r="B2" i="19"/>
  <c r="AG72" i="2" l="1"/>
  <c r="AG88" i="2"/>
  <c r="AE80" i="2"/>
  <c r="AH44" i="2"/>
  <c r="AI65" i="2"/>
  <c r="AI37" i="2"/>
  <c r="AH124" i="2"/>
  <c r="AH190" i="2"/>
  <c r="AH186" i="2"/>
  <c r="AI101" i="2"/>
  <c r="AA15" i="1"/>
  <c r="AK129" i="2"/>
  <c r="AK128" i="2"/>
  <c r="AJ132" i="2"/>
  <c r="AJ76" i="2"/>
  <c r="AJ68" i="2"/>
  <c r="AH99" i="2"/>
  <c r="AH158" i="2"/>
  <c r="AI3" i="2"/>
  <c r="AJ69" i="2"/>
  <c r="AG19" i="2"/>
  <c r="AG9" i="2"/>
  <c r="AD5" i="2"/>
  <c r="AG50" i="2"/>
  <c r="AG46" i="2"/>
  <c r="AG26" i="2"/>
  <c r="AG10" i="2"/>
  <c r="AH16" i="2"/>
  <c r="AH30" i="2"/>
  <c r="AI40" i="2"/>
  <c r="AH50" i="2"/>
  <c r="AH60" i="2"/>
  <c r="AI70" i="2"/>
  <c r="AI94" i="2"/>
  <c r="AD96" i="2"/>
  <c r="AI98" i="2"/>
  <c r="AD100" i="2"/>
  <c r="AI102" i="2"/>
  <c r="AD104" i="2"/>
  <c r="AD108" i="2"/>
  <c r="AD112" i="2"/>
  <c r="AI114" i="2"/>
  <c r="AI116" i="2"/>
  <c r="AI124" i="2"/>
  <c r="AI128" i="2"/>
  <c r="AI130" i="2"/>
  <c r="AI132" i="2"/>
  <c r="AI142" i="2"/>
  <c r="AJ7" i="2"/>
  <c r="AJ15" i="2"/>
  <c r="AJ23" i="2"/>
  <c r="AJ39" i="2"/>
  <c r="AH47" i="2"/>
  <c r="AH81" i="2"/>
  <c r="AJ103" i="2"/>
  <c r="K136" i="2"/>
  <c r="K138" i="2"/>
  <c r="K140" i="2"/>
  <c r="K142" i="2"/>
  <c r="K126" i="2"/>
  <c r="K128" i="2"/>
  <c r="K130" i="2"/>
  <c r="K132" i="2"/>
  <c r="D7" i="16"/>
  <c r="O7" i="16" s="1"/>
  <c r="AR167" i="2" s="1"/>
  <c r="J193" i="2"/>
  <c r="L193" i="2"/>
  <c r="N193" i="2"/>
  <c r="R193" i="2"/>
  <c r="S193" i="2" s="1"/>
  <c r="U193" i="2"/>
  <c r="AO193" i="2"/>
  <c r="J194" i="2"/>
  <c r="L194" i="2"/>
  <c r="N194" i="2"/>
  <c r="R194" i="2"/>
  <c r="S194" i="2" s="1"/>
  <c r="X194" i="2"/>
  <c r="Z194" i="2"/>
  <c r="AO194" i="2"/>
  <c r="K137" i="2"/>
  <c r="K139" i="2"/>
  <c r="K141" i="2"/>
  <c r="K125" i="2"/>
  <c r="K127" i="2"/>
  <c r="K129" i="2"/>
  <c r="K131" i="2"/>
  <c r="K133" i="2"/>
  <c r="K193" i="2"/>
  <c r="M193" i="2"/>
  <c r="O193" i="2"/>
  <c r="P193" i="2" s="1"/>
  <c r="T193" i="2"/>
  <c r="X193" i="2"/>
  <c r="Y193" i="2" s="1"/>
  <c r="AA193" i="2"/>
  <c r="AY193" i="2"/>
  <c r="BC193" i="2"/>
  <c r="K194" i="2"/>
  <c r="M194" i="2"/>
  <c r="O194" i="2"/>
  <c r="P194" i="2" s="1"/>
  <c r="U194" i="2"/>
  <c r="V194" i="2" s="1"/>
  <c r="Y194" i="2"/>
  <c r="AH194" i="2" s="1"/>
  <c r="AA194" i="2"/>
  <c r="AY194" i="2"/>
  <c r="BC194" i="2"/>
  <c r="K195" i="2"/>
  <c r="M195" i="2"/>
  <c r="O195" i="2"/>
  <c r="P195" i="2" s="1"/>
  <c r="U195" i="2"/>
  <c r="AA195" i="2"/>
  <c r="AO195" i="2"/>
  <c r="J196" i="2"/>
  <c r="L196" i="2"/>
  <c r="N196" i="2"/>
  <c r="R196" i="2"/>
  <c r="T196" i="2"/>
  <c r="X196" i="2"/>
  <c r="Z196" i="2"/>
  <c r="AJ196" i="2" s="1"/>
  <c r="AO196" i="2"/>
  <c r="BC196" i="2"/>
  <c r="K197" i="2"/>
  <c r="M197" i="2"/>
  <c r="O197" i="2"/>
  <c r="X197" i="2"/>
  <c r="Y197" i="2" s="1"/>
  <c r="AA197" i="2"/>
  <c r="AO197" i="2"/>
  <c r="J198" i="2"/>
  <c r="L198" i="2"/>
  <c r="N198" i="2"/>
  <c r="R198" i="2"/>
  <c r="T198" i="2"/>
  <c r="X198" i="2"/>
  <c r="Z198" i="2"/>
  <c r="AJ198" i="2" s="1"/>
  <c r="AO198" i="2"/>
  <c r="J199" i="2"/>
  <c r="L199" i="2"/>
  <c r="N199" i="2"/>
  <c r="R199" i="2"/>
  <c r="T199" i="2"/>
  <c r="X199" i="2"/>
  <c r="Z199" i="2"/>
  <c r="J195" i="2"/>
  <c r="N195" i="2"/>
  <c r="AY195" i="2"/>
  <c r="K196" i="2"/>
  <c r="O196" i="2"/>
  <c r="U196" i="2"/>
  <c r="AA196" i="2"/>
  <c r="AY196" i="2"/>
  <c r="L197" i="2"/>
  <c r="R197" i="2"/>
  <c r="S197" i="2" s="1"/>
  <c r="Z197" i="2"/>
  <c r="AY197" i="2"/>
  <c r="K198" i="2"/>
  <c r="O198" i="2"/>
  <c r="U198" i="2"/>
  <c r="AA198" i="2"/>
  <c r="AY198" i="2"/>
  <c r="K199" i="2"/>
  <c r="O199" i="2"/>
  <c r="U199" i="2"/>
  <c r="AA199" i="2"/>
  <c r="AY199" i="2"/>
  <c r="J200" i="2"/>
  <c r="L200" i="2"/>
  <c r="N200" i="2"/>
  <c r="R200" i="2"/>
  <c r="S200" i="2" s="1"/>
  <c r="U200" i="2"/>
  <c r="AA200" i="2"/>
  <c r="AY200" i="2"/>
  <c r="J192" i="2"/>
  <c r="L192" i="2"/>
  <c r="N192" i="2"/>
  <c r="R192" i="2"/>
  <c r="S192" i="2" s="1"/>
  <c r="X192" i="2"/>
  <c r="Y192" i="2" s="1"/>
  <c r="AO192" i="2"/>
  <c r="AU192" i="2" s="1"/>
  <c r="BC192" i="2"/>
  <c r="I193" i="2"/>
  <c r="I195" i="2"/>
  <c r="I197" i="2"/>
  <c r="I199" i="2"/>
  <c r="H192" i="2"/>
  <c r="H194" i="2"/>
  <c r="H196" i="2"/>
  <c r="H198" i="2"/>
  <c r="H200" i="2"/>
  <c r="G193" i="2"/>
  <c r="G195" i="2"/>
  <c r="G197" i="2"/>
  <c r="G199" i="2"/>
  <c r="F192" i="2"/>
  <c r="F194" i="2"/>
  <c r="F196" i="2"/>
  <c r="F198" i="2"/>
  <c r="F200" i="2"/>
  <c r="AY4" i="2"/>
  <c r="AY6" i="2"/>
  <c r="AY8" i="2"/>
  <c r="AZ8" i="2" s="1"/>
  <c r="AY10" i="2"/>
  <c r="AZ10" i="2" s="1"/>
  <c r="AY12" i="2"/>
  <c r="AY14" i="2"/>
  <c r="AZ14" i="2" s="1"/>
  <c r="AY16" i="2"/>
  <c r="AY18" i="2"/>
  <c r="AZ18" i="2" s="1"/>
  <c r="AY20" i="2"/>
  <c r="AY22" i="2"/>
  <c r="AZ22" i="2" s="1"/>
  <c r="AY24" i="2"/>
  <c r="AY26" i="2"/>
  <c r="AZ26" i="2" s="1"/>
  <c r="AY28" i="2"/>
  <c r="AY30" i="2"/>
  <c r="AZ30" i="2" s="1"/>
  <c r="AY32" i="2"/>
  <c r="AY34" i="2"/>
  <c r="AZ34" i="2" s="1"/>
  <c r="AY36" i="2"/>
  <c r="AY38" i="2"/>
  <c r="AZ38" i="2" s="1"/>
  <c r="AY40" i="2"/>
  <c r="AY42" i="2"/>
  <c r="AZ42" i="2" s="1"/>
  <c r="AY44" i="2"/>
  <c r="AY46" i="2"/>
  <c r="AZ46" i="2" s="1"/>
  <c r="AY48" i="2"/>
  <c r="AY50" i="2"/>
  <c r="AZ50" i="2" s="1"/>
  <c r="AY52" i="2"/>
  <c r="AY54" i="2"/>
  <c r="AZ54" i="2" s="1"/>
  <c r="AY56" i="2"/>
  <c r="AY58" i="2"/>
  <c r="AZ58" i="2" s="1"/>
  <c r="AY60" i="2"/>
  <c r="AY62" i="2"/>
  <c r="AZ62" i="2" s="1"/>
  <c r="AY64" i="2"/>
  <c r="AY66" i="2"/>
  <c r="AZ66" i="2" s="1"/>
  <c r="AY68" i="2"/>
  <c r="AY70" i="2"/>
  <c r="AZ70" i="2" s="1"/>
  <c r="AY72" i="2"/>
  <c r="AY74" i="2"/>
  <c r="AZ74" i="2" s="1"/>
  <c r="AY76" i="2"/>
  <c r="AY78" i="2"/>
  <c r="AZ78" i="2" s="1"/>
  <c r="AY80" i="2"/>
  <c r="AY82" i="2"/>
  <c r="AZ82" i="2" s="1"/>
  <c r="AY84" i="2"/>
  <c r="AY86" i="2"/>
  <c r="AZ86" i="2" s="1"/>
  <c r="AY88" i="2"/>
  <c r="AY90" i="2"/>
  <c r="AZ90" i="2" s="1"/>
  <c r="AY92" i="2"/>
  <c r="AY94" i="2"/>
  <c r="AZ94" i="2" s="1"/>
  <c r="AY96" i="2"/>
  <c r="AY98" i="2"/>
  <c r="AZ98" i="2" s="1"/>
  <c r="AY100" i="2"/>
  <c r="AY102" i="2"/>
  <c r="AZ102" i="2" s="1"/>
  <c r="AY104" i="2"/>
  <c r="AY106" i="2"/>
  <c r="AZ106" i="2" s="1"/>
  <c r="AY108" i="2"/>
  <c r="AY110" i="2"/>
  <c r="AZ110" i="2" s="1"/>
  <c r="AY112" i="2"/>
  <c r="AZ112" i="2" s="1"/>
  <c r="AY114" i="2"/>
  <c r="AZ114" i="2" s="1"/>
  <c r="AY116" i="2"/>
  <c r="AY118" i="2"/>
  <c r="AZ118" i="2" s="1"/>
  <c r="AY120" i="2"/>
  <c r="AY122" i="2"/>
  <c r="AZ122" i="2" s="1"/>
  <c r="AY124" i="2"/>
  <c r="AY126" i="2"/>
  <c r="AZ126" i="2" s="1"/>
  <c r="AY128" i="2"/>
  <c r="AY130" i="2"/>
  <c r="AZ130" i="2" s="1"/>
  <c r="AY132" i="2"/>
  <c r="AY134" i="2"/>
  <c r="AZ134" i="2" s="1"/>
  <c r="AY136" i="2"/>
  <c r="AY138" i="2"/>
  <c r="AZ138" i="2" s="1"/>
  <c r="AY140" i="2"/>
  <c r="AY142" i="2"/>
  <c r="AZ142" i="2" s="1"/>
  <c r="AY144" i="2"/>
  <c r="AY146" i="2"/>
  <c r="AZ146" i="2" s="1"/>
  <c r="AY148" i="2"/>
  <c r="AY150" i="2"/>
  <c r="AZ150" i="2" s="1"/>
  <c r="AY152" i="2"/>
  <c r="AY154" i="2"/>
  <c r="AZ154" i="2" s="1"/>
  <c r="AY156" i="2"/>
  <c r="AY158" i="2"/>
  <c r="AZ158" i="2" s="1"/>
  <c r="AY160" i="2"/>
  <c r="AY162" i="2"/>
  <c r="AY164" i="2"/>
  <c r="AY166" i="2"/>
  <c r="AY168" i="2"/>
  <c r="AY170" i="2"/>
  <c r="AY172" i="2"/>
  <c r="AY174" i="2"/>
  <c r="AY176" i="2"/>
  <c r="AY178" i="2"/>
  <c r="AY180" i="2"/>
  <c r="AY182" i="2"/>
  <c r="AY184" i="2"/>
  <c r="AY186" i="2"/>
  <c r="AY188" i="2"/>
  <c r="AY190" i="2"/>
  <c r="AY3" i="2"/>
  <c r="AZ3" i="2" s="1"/>
  <c r="AO5" i="2"/>
  <c r="AU5" i="2" s="1"/>
  <c r="AO7" i="2"/>
  <c r="AU7" i="2" s="1"/>
  <c r="AO9" i="2"/>
  <c r="AU9" i="2" s="1"/>
  <c r="AO11" i="2"/>
  <c r="AU11" i="2" s="1"/>
  <c r="AO13" i="2"/>
  <c r="AU13" i="2" s="1"/>
  <c r="AO15" i="2"/>
  <c r="AU15" i="2" s="1"/>
  <c r="AO17" i="2"/>
  <c r="AU17" i="2" s="1"/>
  <c r="AO19" i="2"/>
  <c r="AO21" i="2"/>
  <c r="AO23" i="2"/>
  <c r="AU23" i="2" s="1"/>
  <c r="AO25" i="2"/>
  <c r="L195" i="2"/>
  <c r="R195" i="2"/>
  <c r="S195" i="2" s="1"/>
  <c r="X195" i="2"/>
  <c r="Z195" i="2" s="1"/>
  <c r="AC195" i="2" s="1"/>
  <c r="BC195" i="2"/>
  <c r="M196" i="2"/>
  <c r="S196" i="2"/>
  <c r="AG196" i="2" s="1"/>
  <c r="Y196" i="2"/>
  <c r="AH196" i="2" s="1"/>
  <c r="J197" i="2"/>
  <c r="N197" i="2"/>
  <c r="U197" i="2"/>
  <c r="V197" i="2" s="1"/>
  <c r="BC197" i="2"/>
  <c r="M198" i="2"/>
  <c r="S198" i="2"/>
  <c r="AG198" i="2" s="1"/>
  <c r="Y198" i="2"/>
  <c r="AH198" i="2" s="1"/>
  <c r="BC198" i="2"/>
  <c r="M199" i="2"/>
  <c r="S199" i="2"/>
  <c r="AG199" i="2" s="1"/>
  <c r="Y199" i="2"/>
  <c r="AH199" i="2" s="1"/>
  <c r="AO199" i="2"/>
  <c r="BC199" i="2"/>
  <c r="K200" i="2"/>
  <c r="M200" i="2"/>
  <c r="AF200" i="2" s="1"/>
  <c r="O200" i="2"/>
  <c r="T200" i="2"/>
  <c r="X200" i="2"/>
  <c r="Y200" i="2" s="1"/>
  <c r="AO200" i="2"/>
  <c r="BC200" i="2"/>
  <c r="K192" i="2"/>
  <c r="M192" i="2"/>
  <c r="AF192" i="2" s="1"/>
  <c r="O192" i="2"/>
  <c r="U192" i="2"/>
  <c r="AA192" i="2"/>
  <c r="AY192" i="2"/>
  <c r="I192" i="2"/>
  <c r="I194" i="2"/>
  <c r="I196" i="2"/>
  <c r="I198" i="2"/>
  <c r="I200" i="2"/>
  <c r="H193" i="2"/>
  <c r="H195" i="2"/>
  <c r="H197" i="2"/>
  <c r="H199" i="2"/>
  <c r="G192" i="2"/>
  <c r="G194" i="2"/>
  <c r="G196" i="2"/>
  <c r="G198" i="2"/>
  <c r="G200" i="2"/>
  <c r="F193" i="2"/>
  <c r="F195" i="2"/>
  <c r="F197" i="2"/>
  <c r="F199" i="2"/>
  <c r="AY5" i="2"/>
  <c r="AY7" i="2"/>
  <c r="AZ7" i="2" s="1"/>
  <c r="AY9" i="2"/>
  <c r="AZ9" i="2" s="1"/>
  <c r="AY11" i="2"/>
  <c r="AY13" i="2"/>
  <c r="AY15" i="2"/>
  <c r="AZ15" i="2" s="1"/>
  <c r="AY17" i="2"/>
  <c r="AZ17" i="2" s="1"/>
  <c r="AY19" i="2"/>
  <c r="AY21" i="2"/>
  <c r="AZ21" i="2" s="1"/>
  <c r="AY23" i="2"/>
  <c r="AY25" i="2"/>
  <c r="AZ25" i="2" s="1"/>
  <c r="AY27" i="2"/>
  <c r="AY29" i="2"/>
  <c r="AZ29" i="2" s="1"/>
  <c r="AY31" i="2"/>
  <c r="AY33" i="2"/>
  <c r="AZ33" i="2" s="1"/>
  <c r="AY35" i="2"/>
  <c r="AY37" i="2"/>
  <c r="AZ37" i="2" s="1"/>
  <c r="AY39" i="2"/>
  <c r="AY41" i="2"/>
  <c r="AZ41" i="2" s="1"/>
  <c r="AY43" i="2"/>
  <c r="AY45" i="2"/>
  <c r="AZ45" i="2" s="1"/>
  <c r="AY47" i="2"/>
  <c r="AY49" i="2"/>
  <c r="AZ49" i="2" s="1"/>
  <c r="AY51" i="2"/>
  <c r="AY53" i="2"/>
  <c r="AZ53" i="2" s="1"/>
  <c r="AY55" i="2"/>
  <c r="AY57" i="2"/>
  <c r="AZ57" i="2" s="1"/>
  <c r="AY59" i="2"/>
  <c r="AY61" i="2"/>
  <c r="AZ61" i="2" s="1"/>
  <c r="AY63" i="2"/>
  <c r="AY65" i="2"/>
  <c r="AZ65" i="2" s="1"/>
  <c r="AY67" i="2"/>
  <c r="AY69" i="2"/>
  <c r="AZ69" i="2" s="1"/>
  <c r="AY71" i="2"/>
  <c r="AY73" i="2"/>
  <c r="AZ73" i="2" s="1"/>
  <c r="AY75" i="2"/>
  <c r="AY77" i="2"/>
  <c r="AZ77" i="2" s="1"/>
  <c r="AY79" i="2"/>
  <c r="AY81" i="2"/>
  <c r="AZ81" i="2" s="1"/>
  <c r="AY83" i="2"/>
  <c r="AY85" i="2"/>
  <c r="AZ85" i="2" s="1"/>
  <c r="AY87" i="2"/>
  <c r="AY89" i="2"/>
  <c r="AZ89" i="2" s="1"/>
  <c r="AY91" i="2"/>
  <c r="AY93" i="2"/>
  <c r="AZ93" i="2" s="1"/>
  <c r="AY95" i="2"/>
  <c r="AY97" i="2"/>
  <c r="AZ97" i="2" s="1"/>
  <c r="AY99" i="2"/>
  <c r="AY101" i="2"/>
  <c r="AZ101" i="2" s="1"/>
  <c r="AY103" i="2"/>
  <c r="AY105" i="2"/>
  <c r="AZ105" i="2" s="1"/>
  <c r="AY107" i="2"/>
  <c r="AY109" i="2"/>
  <c r="AY111" i="2"/>
  <c r="AZ111" i="2" s="1"/>
  <c r="AY113" i="2"/>
  <c r="AZ113" i="2" s="1"/>
  <c r="AY115" i="2"/>
  <c r="AY117" i="2"/>
  <c r="AY119" i="2"/>
  <c r="AZ119" i="2" s="1"/>
  <c r="AY121" i="2"/>
  <c r="AY123" i="2"/>
  <c r="AZ123" i="2" s="1"/>
  <c r="AY125" i="2"/>
  <c r="AY127" i="2"/>
  <c r="AZ127" i="2" s="1"/>
  <c r="AY129" i="2"/>
  <c r="AY131" i="2"/>
  <c r="AY133" i="2"/>
  <c r="AY135" i="2"/>
  <c r="AZ135" i="2" s="1"/>
  <c r="AY137" i="2"/>
  <c r="AY139" i="2"/>
  <c r="AZ139" i="2" s="1"/>
  <c r="AY141" i="2"/>
  <c r="AY143" i="2"/>
  <c r="AZ143" i="2" s="1"/>
  <c r="AY145" i="2"/>
  <c r="AY147" i="2"/>
  <c r="AZ147" i="2" s="1"/>
  <c r="AY149" i="2"/>
  <c r="AY151" i="2"/>
  <c r="AZ151" i="2" s="1"/>
  <c r="AY153" i="2"/>
  <c r="AY155" i="2"/>
  <c r="AZ155" i="2" s="1"/>
  <c r="AY157" i="2"/>
  <c r="AY159" i="2"/>
  <c r="AZ159" i="2" s="1"/>
  <c r="AY161" i="2"/>
  <c r="AY163" i="2"/>
  <c r="AY165" i="2"/>
  <c r="AY167" i="2"/>
  <c r="AY169" i="2"/>
  <c r="AY171" i="2"/>
  <c r="AY173" i="2"/>
  <c r="AY175" i="2"/>
  <c r="AY177" i="2"/>
  <c r="AY179" i="2"/>
  <c r="AY181" i="2"/>
  <c r="AY183" i="2"/>
  <c r="AY185" i="2"/>
  <c r="AY187" i="2"/>
  <c r="AY189" i="2"/>
  <c r="AY191" i="2"/>
  <c r="AO4" i="2"/>
  <c r="AU4" i="2" s="1"/>
  <c r="AO6" i="2"/>
  <c r="AU6" i="2" s="1"/>
  <c r="AO8" i="2"/>
  <c r="AU8" i="2" s="1"/>
  <c r="AO10" i="2"/>
  <c r="AU10" i="2" s="1"/>
  <c r="AO12" i="2"/>
  <c r="AU12" i="2" s="1"/>
  <c r="AO14" i="2"/>
  <c r="AU14" i="2" s="1"/>
  <c r="AO16" i="2"/>
  <c r="AO18" i="2"/>
  <c r="AO20" i="2"/>
  <c r="AO22" i="2"/>
  <c r="AO24" i="2"/>
  <c r="AO26" i="2"/>
  <c r="AU26" i="2" s="1"/>
  <c r="AO28" i="2"/>
  <c r="AO30" i="2"/>
  <c r="AU30" i="2" s="1"/>
  <c r="AO32" i="2"/>
  <c r="AU32" i="2" s="1"/>
  <c r="AO34" i="2"/>
  <c r="AU34" i="2" s="1"/>
  <c r="AO36" i="2"/>
  <c r="AU36" i="2" s="1"/>
  <c r="AO38" i="2"/>
  <c r="AU38" i="2" s="1"/>
  <c r="AO40" i="2"/>
  <c r="AU40" i="2" s="1"/>
  <c r="AO42" i="2"/>
  <c r="AU42" i="2" s="1"/>
  <c r="AO44" i="2"/>
  <c r="AU44" i="2" s="1"/>
  <c r="AO29" i="2"/>
  <c r="AU29" i="2" s="1"/>
  <c r="AO33" i="2"/>
  <c r="AU33" i="2" s="1"/>
  <c r="AO37" i="2"/>
  <c r="AU37" i="2" s="1"/>
  <c r="AO41" i="2"/>
  <c r="AU41" i="2" s="1"/>
  <c r="AO45" i="2"/>
  <c r="AU45" i="2" s="1"/>
  <c r="AO47" i="2"/>
  <c r="AU47" i="2" s="1"/>
  <c r="AO49" i="2"/>
  <c r="AU49" i="2" s="1"/>
  <c r="AO51" i="2"/>
  <c r="AU51" i="2" s="1"/>
  <c r="AO53" i="2"/>
  <c r="AU53" i="2" s="1"/>
  <c r="AO55" i="2"/>
  <c r="AU55" i="2" s="1"/>
  <c r="AO57" i="2"/>
  <c r="AU57" i="2" s="1"/>
  <c r="AO59" i="2"/>
  <c r="AU59" i="2" s="1"/>
  <c r="AO61" i="2"/>
  <c r="AU61" i="2" s="1"/>
  <c r="AO63" i="2"/>
  <c r="AU63" i="2" s="1"/>
  <c r="AO65" i="2"/>
  <c r="AU65" i="2" s="1"/>
  <c r="AO67" i="2"/>
  <c r="AU67" i="2" s="1"/>
  <c r="AO69" i="2"/>
  <c r="AU69" i="2" s="1"/>
  <c r="AO71" i="2"/>
  <c r="AU71" i="2" s="1"/>
  <c r="AO73" i="2"/>
  <c r="AU73" i="2" s="1"/>
  <c r="AO75" i="2"/>
  <c r="AU75" i="2" s="1"/>
  <c r="AO77" i="2"/>
  <c r="AU77" i="2" s="1"/>
  <c r="AO79" i="2"/>
  <c r="AU79" i="2" s="1"/>
  <c r="AO81" i="2"/>
  <c r="AU81" i="2" s="1"/>
  <c r="AO83" i="2"/>
  <c r="AU83" i="2" s="1"/>
  <c r="AO85" i="2"/>
  <c r="AU85" i="2" s="1"/>
  <c r="AO87" i="2"/>
  <c r="AU87" i="2" s="1"/>
  <c r="AO89" i="2"/>
  <c r="AU89" i="2" s="1"/>
  <c r="AO91" i="2"/>
  <c r="AU91" i="2" s="1"/>
  <c r="AO93" i="2"/>
  <c r="AU93" i="2" s="1"/>
  <c r="AO95" i="2"/>
  <c r="AU95" i="2" s="1"/>
  <c r="AO97" i="2"/>
  <c r="AU97" i="2" s="1"/>
  <c r="AO99" i="2"/>
  <c r="AU99" i="2" s="1"/>
  <c r="AO101" i="2"/>
  <c r="AU101" i="2" s="1"/>
  <c r="AO103" i="2"/>
  <c r="AU103" i="2" s="1"/>
  <c r="AO105" i="2"/>
  <c r="AU105" i="2" s="1"/>
  <c r="AO107" i="2"/>
  <c r="AU107" i="2" s="1"/>
  <c r="AO109" i="2"/>
  <c r="AU109" i="2" s="1"/>
  <c r="AO111" i="2"/>
  <c r="AU111" i="2" s="1"/>
  <c r="AO113" i="2"/>
  <c r="AO115" i="2"/>
  <c r="AO117" i="2"/>
  <c r="AU117" i="2" s="1"/>
  <c r="AO119" i="2"/>
  <c r="AU119" i="2" s="1"/>
  <c r="AO121" i="2"/>
  <c r="AO123" i="2"/>
  <c r="AO125" i="2"/>
  <c r="AO127" i="2"/>
  <c r="AO129" i="2"/>
  <c r="AO131" i="2"/>
  <c r="AO133" i="2"/>
  <c r="AO135" i="2"/>
  <c r="AO137" i="2"/>
  <c r="AO139" i="2"/>
  <c r="AO141" i="2"/>
  <c r="AO143" i="2"/>
  <c r="AO145" i="2"/>
  <c r="AO147" i="2"/>
  <c r="AO149" i="2"/>
  <c r="AO151" i="2"/>
  <c r="AO153" i="2"/>
  <c r="AU153" i="2" s="1"/>
  <c r="AO155" i="2"/>
  <c r="AU155" i="2" s="1"/>
  <c r="AO157" i="2"/>
  <c r="AO159" i="2"/>
  <c r="AO161" i="2"/>
  <c r="AO163" i="2"/>
  <c r="AO165" i="2"/>
  <c r="AO167" i="2"/>
  <c r="AO169" i="2"/>
  <c r="AO171" i="2"/>
  <c r="AO173" i="2"/>
  <c r="AO175" i="2"/>
  <c r="AO177" i="2"/>
  <c r="AO179" i="2"/>
  <c r="AO181" i="2"/>
  <c r="AO183" i="2"/>
  <c r="AO185" i="2"/>
  <c r="AO187" i="2"/>
  <c r="AO189" i="2"/>
  <c r="AO191" i="2"/>
  <c r="BC4" i="2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2" i="2"/>
  <c r="BC83" i="2"/>
  <c r="BC84" i="2"/>
  <c r="BC85" i="2"/>
  <c r="BC86" i="2"/>
  <c r="BC87" i="2"/>
  <c r="BC88" i="2"/>
  <c r="BC89" i="2"/>
  <c r="BC90" i="2"/>
  <c r="BC91" i="2"/>
  <c r="BC92" i="2"/>
  <c r="AO27" i="2"/>
  <c r="AO31" i="2"/>
  <c r="AU31" i="2" s="1"/>
  <c r="AO35" i="2"/>
  <c r="AU35" i="2" s="1"/>
  <c r="AO39" i="2"/>
  <c r="AU39" i="2" s="1"/>
  <c r="AO43" i="2"/>
  <c r="AU43" i="2" s="1"/>
  <c r="AO46" i="2"/>
  <c r="AU46" i="2" s="1"/>
  <c r="AO48" i="2"/>
  <c r="AU48" i="2" s="1"/>
  <c r="AO50" i="2"/>
  <c r="AU50" i="2" s="1"/>
  <c r="AO52" i="2"/>
  <c r="AU52" i="2" s="1"/>
  <c r="AO54" i="2"/>
  <c r="AU54" i="2" s="1"/>
  <c r="AO56" i="2"/>
  <c r="AU56" i="2" s="1"/>
  <c r="AO58" i="2"/>
  <c r="AU58" i="2" s="1"/>
  <c r="AO60" i="2"/>
  <c r="AU60" i="2" s="1"/>
  <c r="AO62" i="2"/>
  <c r="AU62" i="2" s="1"/>
  <c r="AO64" i="2"/>
  <c r="AU64" i="2" s="1"/>
  <c r="AO66" i="2"/>
  <c r="AU66" i="2" s="1"/>
  <c r="AO68" i="2"/>
  <c r="AU68" i="2" s="1"/>
  <c r="AO70" i="2"/>
  <c r="AU70" i="2" s="1"/>
  <c r="AO72" i="2"/>
  <c r="AU72" i="2" s="1"/>
  <c r="AO74" i="2"/>
  <c r="AU74" i="2" s="1"/>
  <c r="AO76" i="2"/>
  <c r="AU76" i="2" s="1"/>
  <c r="AO78" i="2"/>
  <c r="AU78" i="2" s="1"/>
  <c r="AO80" i="2"/>
  <c r="AU80" i="2" s="1"/>
  <c r="AO82" i="2"/>
  <c r="AU82" i="2" s="1"/>
  <c r="AO84" i="2"/>
  <c r="AU84" i="2" s="1"/>
  <c r="AO86" i="2"/>
  <c r="AU86" i="2" s="1"/>
  <c r="AO88" i="2"/>
  <c r="AU88" i="2" s="1"/>
  <c r="AO90" i="2"/>
  <c r="AU90" i="2" s="1"/>
  <c r="AO92" i="2"/>
  <c r="AU92" i="2" s="1"/>
  <c r="AO94" i="2"/>
  <c r="AU94" i="2" s="1"/>
  <c r="AO96" i="2"/>
  <c r="AU96" i="2" s="1"/>
  <c r="AO98" i="2"/>
  <c r="AU98" i="2" s="1"/>
  <c r="AO100" i="2"/>
  <c r="AU100" i="2" s="1"/>
  <c r="AO102" i="2"/>
  <c r="AU102" i="2" s="1"/>
  <c r="AO104" i="2"/>
  <c r="AU104" i="2" s="1"/>
  <c r="AO106" i="2"/>
  <c r="AU106" i="2" s="1"/>
  <c r="AO108" i="2"/>
  <c r="AU108" i="2" s="1"/>
  <c r="AO110" i="2"/>
  <c r="AU110" i="2" s="1"/>
  <c r="AO112" i="2"/>
  <c r="AO114" i="2"/>
  <c r="AO116" i="2"/>
  <c r="AU116" i="2" s="1"/>
  <c r="AO118" i="2"/>
  <c r="AU118" i="2" s="1"/>
  <c r="AO120" i="2"/>
  <c r="AU120" i="2" s="1"/>
  <c r="AO122" i="2"/>
  <c r="AO124" i="2"/>
  <c r="AO126" i="2"/>
  <c r="AO128" i="2"/>
  <c r="AO130" i="2"/>
  <c r="AO132" i="2"/>
  <c r="AO134" i="2"/>
  <c r="AO136" i="2"/>
  <c r="AO138" i="2"/>
  <c r="AO140" i="2"/>
  <c r="AO142" i="2"/>
  <c r="AO144" i="2"/>
  <c r="AO146" i="2"/>
  <c r="AO148" i="2"/>
  <c r="AO150" i="2"/>
  <c r="AO152" i="2"/>
  <c r="AU152" i="2" s="1"/>
  <c r="AO154" i="2"/>
  <c r="AU154" i="2" s="1"/>
  <c r="AO156" i="2"/>
  <c r="AU156" i="2" s="1"/>
  <c r="AO158" i="2"/>
  <c r="AO160" i="2"/>
  <c r="AO162" i="2"/>
  <c r="AO164" i="2"/>
  <c r="AO166" i="2"/>
  <c r="AO168" i="2"/>
  <c r="AO170" i="2"/>
  <c r="AO172" i="2"/>
  <c r="AO174" i="2"/>
  <c r="AO176" i="2"/>
  <c r="AO178" i="2"/>
  <c r="AO180" i="2"/>
  <c r="AO182" i="2"/>
  <c r="AO184" i="2"/>
  <c r="AO186" i="2"/>
  <c r="AO188" i="2"/>
  <c r="AO190" i="2"/>
  <c r="G7" i="2"/>
  <c r="G123" i="2"/>
  <c r="S190" i="2"/>
  <c r="AG190" i="2" s="1"/>
  <c r="S174" i="2"/>
  <c r="AG174" i="2" s="1"/>
  <c r="S166" i="2"/>
  <c r="AG166" i="2" s="1"/>
  <c r="S158" i="2"/>
  <c r="S178" i="2"/>
  <c r="AG178" i="2" s="1"/>
  <c r="AK135" i="2"/>
  <c r="AU135" i="2" s="1"/>
  <c r="AK139" i="2"/>
  <c r="AK134" i="2"/>
  <c r="AU134" i="2" s="1"/>
  <c r="AK138" i="2"/>
  <c r="AU138" i="2" s="1"/>
  <c r="AK142" i="2"/>
  <c r="AK127" i="2"/>
  <c r="AU127" i="2" s="1"/>
  <c r="AK131" i="2"/>
  <c r="AK126" i="2"/>
  <c r="AU126" i="2" s="1"/>
  <c r="AK130" i="2"/>
  <c r="AK19" i="2"/>
  <c r="AU19" i="2" s="1"/>
  <c r="AK27" i="2"/>
  <c r="AU27" i="2" s="1"/>
  <c r="AK22" i="2"/>
  <c r="AU22" i="2" s="1"/>
  <c r="F3" i="2"/>
  <c r="S191" i="2"/>
  <c r="AG191" i="2" s="1"/>
  <c r="S189" i="2"/>
  <c r="AG189" i="2" s="1"/>
  <c r="S187" i="2"/>
  <c r="AG187" i="2" s="1"/>
  <c r="X183" i="2"/>
  <c r="X181" i="2"/>
  <c r="M20" i="1"/>
  <c r="L20" i="1"/>
  <c r="M12" i="1"/>
  <c r="L12" i="1"/>
  <c r="BC3" i="2"/>
  <c r="BC191" i="2"/>
  <c r="BC190" i="2"/>
  <c r="BC189" i="2"/>
  <c r="BC188" i="2"/>
  <c r="BC187" i="2"/>
  <c r="BC186" i="2"/>
  <c r="BC185" i="2"/>
  <c r="BC184" i="2"/>
  <c r="BC183" i="2"/>
  <c r="BC182" i="2"/>
  <c r="BC181" i="2"/>
  <c r="BC180" i="2"/>
  <c r="BC179" i="2"/>
  <c r="BC178" i="2"/>
  <c r="BC177" i="2"/>
  <c r="BC176" i="2"/>
  <c r="BC175" i="2"/>
  <c r="BC174" i="2"/>
  <c r="BC173" i="2"/>
  <c r="BC172" i="2"/>
  <c r="BC171" i="2"/>
  <c r="BC170" i="2"/>
  <c r="BC169" i="2"/>
  <c r="BC168" i="2"/>
  <c r="BC167" i="2"/>
  <c r="BC166" i="2"/>
  <c r="BC165" i="2"/>
  <c r="BC164" i="2"/>
  <c r="BC163" i="2"/>
  <c r="BC162" i="2"/>
  <c r="BC161" i="2"/>
  <c r="BC160" i="2"/>
  <c r="BC159" i="2"/>
  <c r="BC158" i="2"/>
  <c r="BC157" i="2"/>
  <c r="BC156" i="2"/>
  <c r="BC155" i="2"/>
  <c r="BC154" i="2"/>
  <c r="BC153" i="2"/>
  <c r="BC152" i="2"/>
  <c r="BC151" i="2"/>
  <c r="BC150" i="2"/>
  <c r="BC149" i="2"/>
  <c r="BC148" i="2"/>
  <c r="BC147" i="2"/>
  <c r="BC146" i="2"/>
  <c r="BC145" i="2"/>
  <c r="BC144" i="2"/>
  <c r="BC143" i="2"/>
  <c r="BC142" i="2"/>
  <c r="BC141" i="2"/>
  <c r="BC140" i="2"/>
  <c r="BC139" i="2"/>
  <c r="BC138" i="2"/>
  <c r="BC137" i="2"/>
  <c r="BC136" i="2"/>
  <c r="BC135" i="2"/>
  <c r="BC134" i="2"/>
  <c r="BC133" i="2"/>
  <c r="BC132" i="2"/>
  <c r="BC131" i="2"/>
  <c r="BC130" i="2"/>
  <c r="BC129" i="2"/>
  <c r="BC128" i="2"/>
  <c r="BC127" i="2"/>
  <c r="BC126" i="2"/>
  <c r="BC125" i="2"/>
  <c r="BC124" i="2"/>
  <c r="BC123" i="2"/>
  <c r="BC122" i="2"/>
  <c r="BC121" i="2"/>
  <c r="BC120" i="2"/>
  <c r="BC119" i="2"/>
  <c r="BC118" i="2"/>
  <c r="BC117" i="2"/>
  <c r="BC116" i="2"/>
  <c r="BC115" i="2"/>
  <c r="BC114" i="2"/>
  <c r="BC113" i="2"/>
  <c r="BC112" i="2"/>
  <c r="BC111" i="2"/>
  <c r="BC110" i="2"/>
  <c r="BC109" i="2"/>
  <c r="BC108" i="2"/>
  <c r="BC107" i="2"/>
  <c r="BC106" i="2"/>
  <c r="BC105" i="2"/>
  <c r="BC104" i="2"/>
  <c r="BC103" i="2"/>
  <c r="BC102" i="2"/>
  <c r="BC101" i="2"/>
  <c r="BC100" i="2"/>
  <c r="BC99" i="2"/>
  <c r="BC98" i="2"/>
  <c r="BC97" i="2"/>
  <c r="BC96" i="2"/>
  <c r="BC95" i="2"/>
  <c r="BC94" i="2"/>
  <c r="BC93" i="2"/>
  <c r="AZ109" i="2"/>
  <c r="AZ108" i="2"/>
  <c r="AZ107" i="2"/>
  <c r="AZ115" i="2"/>
  <c r="AZ6" i="2"/>
  <c r="AZ5" i="2"/>
  <c r="AZ13" i="2"/>
  <c r="AZ4" i="2"/>
  <c r="AZ12" i="2"/>
  <c r="AZ11" i="2"/>
  <c r="AZ16" i="2"/>
  <c r="AZ20" i="2"/>
  <c r="AZ24" i="2"/>
  <c r="AZ28" i="2"/>
  <c r="AZ32" i="2"/>
  <c r="AZ36" i="2"/>
  <c r="AZ40" i="2"/>
  <c r="AZ44" i="2"/>
  <c r="AZ48" i="2"/>
  <c r="AZ52" i="2"/>
  <c r="AZ56" i="2"/>
  <c r="AZ60" i="2"/>
  <c r="AZ64" i="2"/>
  <c r="AZ68" i="2"/>
  <c r="AZ72" i="2"/>
  <c r="AZ76" i="2"/>
  <c r="AZ80" i="2"/>
  <c r="AZ84" i="2"/>
  <c r="AZ88" i="2"/>
  <c r="AZ92" i="2"/>
  <c r="AZ96" i="2"/>
  <c r="AZ100" i="2"/>
  <c r="AZ104" i="2"/>
  <c r="AZ116" i="2"/>
  <c r="AZ120" i="2"/>
  <c r="AZ124" i="2"/>
  <c r="AZ128" i="2"/>
  <c r="AZ136" i="2"/>
  <c r="AZ140" i="2"/>
  <c r="AZ144" i="2"/>
  <c r="AZ148" i="2"/>
  <c r="AZ152" i="2"/>
  <c r="AZ156" i="2"/>
  <c r="AZ160" i="2"/>
  <c r="AI12" i="2"/>
  <c r="AH18" i="2"/>
  <c r="AH72" i="2"/>
  <c r="AH92" i="2"/>
  <c r="AH112" i="2"/>
  <c r="AH118" i="2"/>
  <c r="AH134" i="2"/>
  <c r="AI138" i="2"/>
  <c r="AZ19" i="2"/>
  <c r="AZ23" i="2"/>
  <c r="AZ27" i="2"/>
  <c r="AZ31" i="2"/>
  <c r="AZ35" i="2"/>
  <c r="AZ39" i="2"/>
  <c r="AZ43" i="2"/>
  <c r="AZ47" i="2"/>
  <c r="AZ51" i="2"/>
  <c r="AZ55" i="2"/>
  <c r="AZ59" i="2"/>
  <c r="AZ63" i="2"/>
  <c r="AZ67" i="2"/>
  <c r="AZ71" i="2"/>
  <c r="AZ75" i="2"/>
  <c r="AZ79" i="2"/>
  <c r="AZ83" i="2"/>
  <c r="AZ87" i="2"/>
  <c r="AZ91" i="2"/>
  <c r="AZ95" i="2"/>
  <c r="AZ99" i="2"/>
  <c r="AZ103" i="2"/>
  <c r="AZ117" i="2"/>
  <c r="AZ121" i="2"/>
  <c r="AZ125" i="2"/>
  <c r="AZ129" i="2"/>
  <c r="AZ133" i="2"/>
  <c r="AZ137" i="2"/>
  <c r="AZ141" i="2"/>
  <c r="AZ145" i="2"/>
  <c r="AZ149" i="2"/>
  <c r="AZ153" i="2"/>
  <c r="AZ157" i="2"/>
  <c r="AJ11" i="2"/>
  <c r="AJ19" i="2"/>
  <c r="AJ27" i="2"/>
  <c r="AJ35" i="2"/>
  <c r="AJ51" i="2"/>
  <c r="AH77" i="2"/>
  <c r="AJ97" i="2"/>
  <c r="X105" i="2"/>
  <c r="X107" i="2"/>
  <c r="X109" i="2"/>
  <c r="Z111" i="2"/>
  <c r="R113" i="2"/>
  <c r="R115" i="2"/>
  <c r="X115" i="2"/>
  <c r="R117" i="2"/>
  <c r="X117" i="2"/>
  <c r="X119" i="2"/>
  <c r="Z121" i="2"/>
  <c r="AJ121" i="2" s="1"/>
  <c r="R123" i="2"/>
  <c r="R125" i="2"/>
  <c r="R127" i="2"/>
  <c r="X127" i="2"/>
  <c r="X129" i="2"/>
  <c r="Y131" i="2"/>
  <c r="AH131" i="2" s="1"/>
  <c r="S133" i="2"/>
  <c r="Z133" i="2"/>
  <c r="AH133" i="2" s="1"/>
  <c r="R135" i="2"/>
  <c r="R137" i="2"/>
  <c r="X137" i="2"/>
  <c r="R139" i="2"/>
  <c r="X139" i="2"/>
  <c r="R141" i="2"/>
  <c r="X141" i="2"/>
  <c r="R143" i="2"/>
  <c r="X143" i="2"/>
  <c r="X145" i="2"/>
  <c r="X147" i="2"/>
  <c r="X149" i="2"/>
  <c r="X151" i="2"/>
  <c r="Z153" i="2"/>
  <c r="S155" i="2"/>
  <c r="Z155" i="2"/>
  <c r="S157" i="2"/>
  <c r="Z157" i="2"/>
  <c r="AJ157" i="2" s="1"/>
  <c r="S159" i="2"/>
  <c r="Y159" i="2"/>
  <c r="AH159" i="2" s="1"/>
  <c r="R161" i="2"/>
  <c r="R163" i="2"/>
  <c r="R165" i="2"/>
  <c r="R167" i="2"/>
  <c r="R169" i="2"/>
  <c r="X169" i="2"/>
  <c r="R171" i="2"/>
  <c r="X171" i="2"/>
  <c r="R173" i="2"/>
  <c r="X173" i="2"/>
  <c r="R175" i="2"/>
  <c r="X175" i="2"/>
  <c r="X177" i="2"/>
  <c r="X179" i="2"/>
  <c r="R183" i="2"/>
  <c r="X185" i="2"/>
  <c r="Y185" i="2" s="1"/>
  <c r="X187" i="2"/>
  <c r="Y187" i="2" s="1"/>
  <c r="X189" i="2"/>
  <c r="Y189" i="2" s="1"/>
  <c r="X191" i="2"/>
  <c r="Y191" i="2" s="1"/>
  <c r="AK18" i="2"/>
  <c r="AU18" i="2" s="1"/>
  <c r="AK132" i="2"/>
  <c r="AK133" i="2"/>
  <c r="AK125" i="2"/>
  <c r="AU125" i="2" s="1"/>
  <c r="AK136" i="2"/>
  <c r="AU136" i="2" s="1"/>
  <c r="AK137" i="2"/>
  <c r="AU137" i="2" s="1"/>
  <c r="G121" i="2"/>
  <c r="R186" i="2"/>
  <c r="T186" i="2" s="1"/>
  <c r="R162" i="2"/>
  <c r="T162" i="2" s="1"/>
  <c r="R170" i="2"/>
  <c r="T170" i="2" s="1"/>
  <c r="R182" i="2"/>
  <c r="T182" i="2" s="1"/>
  <c r="G119" i="2"/>
  <c r="M21" i="1"/>
  <c r="L21" i="1"/>
  <c r="B14" i="19"/>
  <c r="J14" i="19"/>
  <c r="H14" i="19"/>
  <c r="F14" i="19"/>
  <c r="D14" i="19"/>
  <c r="I14" i="19"/>
  <c r="G14" i="19"/>
  <c r="E14" i="19"/>
  <c r="C14" i="19"/>
  <c r="B7" i="19"/>
  <c r="J7" i="19"/>
  <c r="H7" i="19"/>
  <c r="F7" i="19"/>
  <c r="D7" i="19"/>
  <c r="I7" i="19"/>
  <c r="G7" i="19"/>
  <c r="E7" i="19"/>
  <c r="C7" i="19"/>
  <c r="B10" i="19"/>
  <c r="J10" i="19"/>
  <c r="H10" i="19"/>
  <c r="F10" i="19"/>
  <c r="D10" i="19"/>
  <c r="I10" i="19"/>
  <c r="G10" i="19"/>
  <c r="E10" i="19"/>
  <c r="C10" i="19"/>
  <c r="B21" i="19"/>
  <c r="B24" i="19"/>
  <c r="J24" i="19"/>
  <c r="H24" i="19"/>
  <c r="F24" i="19"/>
  <c r="D24" i="19"/>
  <c r="I24" i="19"/>
  <c r="G24" i="19"/>
  <c r="E24" i="19"/>
  <c r="C24" i="19"/>
  <c r="J21" i="19"/>
  <c r="J25" i="19" s="1"/>
  <c r="H21" i="19"/>
  <c r="H25" i="19" s="1"/>
  <c r="F21" i="19"/>
  <c r="F25" i="19" s="1"/>
  <c r="D21" i="19"/>
  <c r="D25" i="19" s="1"/>
  <c r="I21" i="19"/>
  <c r="I25" i="19" s="1"/>
  <c r="G21" i="19"/>
  <c r="G25" i="19" s="1"/>
  <c r="E21" i="19"/>
  <c r="E25" i="19" s="1"/>
  <c r="C21" i="19"/>
  <c r="C25" i="19" s="1"/>
  <c r="AE133" i="2"/>
  <c r="AJ133" i="2"/>
  <c r="AH43" i="2"/>
  <c r="AI43" i="2"/>
  <c r="AJ102" i="2"/>
  <c r="AJ126" i="2"/>
  <c r="AG105" i="2"/>
  <c r="AD97" i="2"/>
  <c r="AI97" i="2"/>
  <c r="AG87" i="2"/>
  <c r="AE87" i="2"/>
  <c r="AD61" i="2"/>
  <c r="AG61" i="2"/>
  <c r="AI61" i="2"/>
  <c r="AG59" i="2"/>
  <c r="AI59" i="2"/>
  <c r="AA18" i="1"/>
  <c r="AK143" i="2"/>
  <c r="AU143" i="2" s="1"/>
  <c r="AK147" i="2"/>
  <c r="AU147" i="2" s="1"/>
  <c r="AK151" i="2"/>
  <c r="AK146" i="2"/>
  <c r="AU146" i="2" s="1"/>
  <c r="AK150" i="2"/>
  <c r="AK145" i="2"/>
  <c r="AU145" i="2" s="1"/>
  <c r="AK149" i="2"/>
  <c r="AK144" i="2"/>
  <c r="AU144" i="2" s="1"/>
  <c r="AK148" i="2"/>
  <c r="AL159" i="2"/>
  <c r="AL155" i="2"/>
  <c r="AL160" i="2"/>
  <c r="AL156" i="2"/>
  <c r="AL152" i="2"/>
  <c r="AL157" i="2"/>
  <c r="AL153" i="2"/>
  <c r="AL158" i="2"/>
  <c r="AL154" i="2"/>
  <c r="AI20" i="2"/>
  <c r="AI28" i="2"/>
  <c r="AD28" i="2"/>
  <c r="AH64" i="2"/>
  <c r="AH94" i="2"/>
  <c r="AH102" i="2"/>
  <c r="AH108" i="2"/>
  <c r="AH114" i="2"/>
  <c r="AH126" i="2"/>
  <c r="AH136" i="2"/>
  <c r="AH146" i="2"/>
  <c r="AH154" i="2"/>
  <c r="AH162" i="2"/>
  <c r="AH59" i="2"/>
  <c r="AJ59" i="2"/>
  <c r="AG93" i="2"/>
  <c r="AD93" i="2"/>
  <c r="AI49" i="2"/>
  <c r="AH49" i="2"/>
  <c r="AH148" i="2"/>
  <c r="AJ148" i="2"/>
  <c r="AJ96" i="2"/>
  <c r="AE96" i="2"/>
  <c r="AJ82" i="2"/>
  <c r="AG82" i="2"/>
  <c r="AE82" i="2"/>
  <c r="AH87" i="2"/>
  <c r="AI87" i="2"/>
  <c r="AJ106" i="2"/>
  <c r="AJ6" i="2"/>
  <c r="AH6" i="2"/>
  <c r="AH73" i="2"/>
  <c r="AI73" i="2"/>
  <c r="AG129" i="2"/>
  <c r="AD129" i="2"/>
  <c r="AD103" i="2"/>
  <c r="AI103" i="2"/>
  <c r="AJ99" i="2"/>
  <c r="AJ75" i="2"/>
  <c r="AJ67" i="2"/>
  <c r="AG67" i="2"/>
  <c r="AJ63" i="2"/>
  <c r="AG63" i="2"/>
  <c r="AG41" i="2"/>
  <c r="AI41" i="2"/>
  <c r="AI39" i="2"/>
  <c r="AD33" i="2"/>
  <c r="AI33" i="2"/>
  <c r="AI11" i="2"/>
  <c r="AJ42" i="2"/>
  <c r="AL123" i="2"/>
  <c r="AL121" i="2"/>
  <c r="AL120" i="2"/>
  <c r="AL116" i="2"/>
  <c r="AL119" i="2"/>
  <c r="AL124" i="2"/>
  <c r="AL117" i="2"/>
  <c r="AL122" i="2"/>
  <c r="AL118" i="2"/>
  <c r="AH10" i="2"/>
  <c r="AH48" i="2"/>
  <c r="AI48" i="2"/>
  <c r="AG80" i="2"/>
  <c r="AD80" i="2"/>
  <c r="AG92" i="2"/>
  <c r="AD92" i="2"/>
  <c r="AG106" i="2"/>
  <c r="AI106" i="2"/>
  <c r="AG110" i="2"/>
  <c r="AI110" i="2"/>
  <c r="AD118" i="2"/>
  <c r="AG118" i="2"/>
  <c r="AG120" i="2"/>
  <c r="AI120" i="2"/>
  <c r="AD122" i="2"/>
  <c r="AG122" i="2"/>
  <c r="AD126" i="2"/>
  <c r="AG126" i="2"/>
  <c r="AG134" i="2"/>
  <c r="AD134" i="2"/>
  <c r="AG136" i="2"/>
  <c r="AD136" i="2"/>
  <c r="AH160" i="2"/>
  <c r="AJ160" i="2"/>
  <c r="AH188" i="2"/>
  <c r="AH31" i="2"/>
  <c r="AJ31" i="2"/>
  <c r="AH55" i="2"/>
  <c r="AH63" i="2"/>
  <c r="AI63" i="2"/>
  <c r="AD77" i="2"/>
  <c r="AG77" i="2"/>
  <c r="AD109" i="2"/>
  <c r="AG109" i="2"/>
  <c r="AG149" i="2"/>
  <c r="AD149" i="2"/>
  <c r="AG151" i="2"/>
  <c r="AD151" i="2"/>
  <c r="AL131" i="2"/>
  <c r="AL127" i="2"/>
  <c r="AL130" i="2"/>
  <c r="AL126" i="2"/>
  <c r="AL133" i="2"/>
  <c r="AL129" i="2"/>
  <c r="AL125" i="2"/>
  <c r="AL132" i="2"/>
  <c r="AL128" i="2"/>
  <c r="AL139" i="2"/>
  <c r="AL136" i="2"/>
  <c r="AL141" i="2"/>
  <c r="AL138" i="2"/>
  <c r="AL135" i="2"/>
  <c r="AL140" i="2"/>
  <c r="AL137" i="2"/>
  <c r="AL134" i="2"/>
  <c r="AL142" i="2"/>
  <c r="AI200" i="2"/>
  <c r="AG200" i="2"/>
  <c r="P125" i="2"/>
  <c r="Q125" i="2"/>
  <c r="V126" i="2"/>
  <c r="W126" i="2"/>
  <c r="P127" i="2"/>
  <c r="Q127" i="2"/>
  <c r="V128" i="2"/>
  <c r="W128" i="2"/>
  <c r="P129" i="2"/>
  <c r="Q129" i="2"/>
  <c r="V130" i="2"/>
  <c r="W130" i="2"/>
  <c r="P131" i="2"/>
  <c r="Q131" i="2"/>
  <c r="V132" i="2"/>
  <c r="W132" i="2"/>
  <c r="P133" i="2"/>
  <c r="Q133" i="2"/>
  <c r="V134" i="2"/>
  <c r="W134" i="2"/>
  <c r="P143" i="2"/>
  <c r="Q143" i="2"/>
  <c r="V144" i="2"/>
  <c r="W144" i="2"/>
  <c r="P147" i="2"/>
  <c r="Q147" i="2"/>
  <c r="V148" i="2"/>
  <c r="W148" i="2"/>
  <c r="P151" i="2"/>
  <c r="Q151" i="2"/>
  <c r="V152" i="2"/>
  <c r="W152" i="2"/>
  <c r="P155" i="2"/>
  <c r="Q155" i="2"/>
  <c r="V156" i="2"/>
  <c r="W156" i="2"/>
  <c r="P159" i="2"/>
  <c r="Q159" i="2"/>
  <c r="V160" i="2"/>
  <c r="W160" i="2"/>
  <c r="V164" i="2"/>
  <c r="W164" i="2"/>
  <c r="V166" i="2"/>
  <c r="W166" i="2"/>
  <c r="W170" i="2"/>
  <c r="V174" i="2"/>
  <c r="W174" i="2"/>
  <c r="V178" i="2"/>
  <c r="W178" i="2"/>
  <c r="W3" i="2"/>
  <c r="V3" i="2"/>
  <c r="P124" i="2"/>
  <c r="Q124" i="2"/>
  <c r="P134" i="2"/>
  <c r="Q134" i="2"/>
  <c r="P136" i="2"/>
  <c r="Q136" i="2"/>
  <c r="P138" i="2"/>
  <c r="Q138" i="2"/>
  <c r="P140" i="2"/>
  <c r="Q140" i="2"/>
  <c r="P142" i="2"/>
  <c r="Q142" i="2"/>
  <c r="P146" i="2"/>
  <c r="Q146" i="2"/>
  <c r="V147" i="2"/>
  <c r="W147" i="2"/>
  <c r="P150" i="2"/>
  <c r="Q150" i="2"/>
  <c r="V151" i="2"/>
  <c r="W151" i="2"/>
  <c r="P154" i="2"/>
  <c r="Q154" i="2"/>
  <c r="V155" i="2"/>
  <c r="W155" i="2"/>
  <c r="P158" i="2"/>
  <c r="Q158" i="2"/>
  <c r="V159" i="2"/>
  <c r="W159" i="2"/>
  <c r="V179" i="2"/>
  <c r="W179" i="2"/>
  <c r="P122" i="2"/>
  <c r="Q122" i="2"/>
  <c r="V119" i="2"/>
  <c r="W119" i="2"/>
  <c r="P118" i="2"/>
  <c r="Q118" i="2"/>
  <c r="P114" i="2"/>
  <c r="Q114" i="2"/>
  <c r="V111" i="2"/>
  <c r="W111" i="2"/>
  <c r="P110" i="2"/>
  <c r="Q110" i="2"/>
  <c r="V107" i="2"/>
  <c r="W107" i="2"/>
  <c r="W95" i="2"/>
  <c r="P94" i="2"/>
  <c r="Q94" i="2"/>
  <c r="V83" i="2"/>
  <c r="W83" i="2"/>
  <c r="Q82" i="2"/>
  <c r="P70" i="2"/>
  <c r="Q70" i="2"/>
  <c r="V55" i="2"/>
  <c r="W55" i="2"/>
  <c r="W43" i="2"/>
  <c r="P42" i="2"/>
  <c r="Q42" i="2"/>
  <c r="V31" i="2"/>
  <c r="W31" i="2"/>
  <c r="Q30" i="2"/>
  <c r="P18" i="2"/>
  <c r="Q18" i="2"/>
  <c r="W4" i="2"/>
  <c r="AB167" i="2"/>
  <c r="AC167" i="2"/>
  <c r="AB163" i="2"/>
  <c r="AC163" i="2"/>
  <c r="AB159" i="2"/>
  <c r="AC159" i="2"/>
  <c r="AB155" i="2"/>
  <c r="AC155" i="2"/>
  <c r="AB135" i="2"/>
  <c r="AC135" i="2"/>
  <c r="AB131" i="2"/>
  <c r="AC131" i="2"/>
  <c r="AB123" i="2"/>
  <c r="AC123" i="2"/>
  <c r="AB111" i="2"/>
  <c r="AC111" i="2"/>
  <c r="AC95" i="2"/>
  <c r="AB83" i="2"/>
  <c r="AC83" i="2"/>
  <c r="AB55" i="2"/>
  <c r="AC55" i="2"/>
  <c r="AC43" i="2"/>
  <c r="AB31" i="2"/>
  <c r="AC31" i="2"/>
  <c r="V122" i="2"/>
  <c r="W122" i="2"/>
  <c r="P121" i="2"/>
  <c r="Q121" i="2"/>
  <c r="V118" i="2"/>
  <c r="W118" i="2"/>
  <c r="P117" i="2"/>
  <c r="Q117" i="2"/>
  <c r="V114" i="2"/>
  <c r="W114" i="2"/>
  <c r="P113" i="2"/>
  <c r="Q113" i="2"/>
  <c r="V110" i="2"/>
  <c r="W110" i="2"/>
  <c r="P109" i="2"/>
  <c r="Q109" i="2"/>
  <c r="V94" i="2"/>
  <c r="W94" i="2"/>
  <c r="W82" i="2"/>
  <c r="P81" i="2"/>
  <c r="Q81" i="2"/>
  <c r="V70" i="2"/>
  <c r="W70" i="2"/>
  <c r="Q69" i="2"/>
  <c r="P57" i="2"/>
  <c r="Q57" i="2"/>
  <c r="V42" i="2"/>
  <c r="W42" i="2"/>
  <c r="W30" i="2"/>
  <c r="P29" i="2"/>
  <c r="Q29" i="2"/>
  <c r="V18" i="2"/>
  <c r="W18" i="2"/>
  <c r="Q17" i="2"/>
  <c r="V5" i="2"/>
  <c r="W5" i="2"/>
  <c r="Q4" i="2"/>
  <c r="AB178" i="2"/>
  <c r="AC178" i="2"/>
  <c r="AB174" i="2"/>
  <c r="AC174" i="2"/>
  <c r="AB170" i="2"/>
  <c r="AC170" i="2"/>
  <c r="AB166" i="2"/>
  <c r="AC166" i="2"/>
  <c r="AB162" i="2"/>
  <c r="AC162" i="2"/>
  <c r="AB158" i="2"/>
  <c r="AC158" i="2"/>
  <c r="AB154" i="2"/>
  <c r="AC154" i="2"/>
  <c r="AB150" i="2"/>
  <c r="AC150" i="2"/>
  <c r="AB146" i="2"/>
  <c r="AC146" i="2"/>
  <c r="AB142" i="2"/>
  <c r="AC142" i="2"/>
  <c r="AB138" i="2"/>
  <c r="AC138" i="2"/>
  <c r="AB134" i="2"/>
  <c r="AC134" i="2"/>
  <c r="AB130" i="2"/>
  <c r="AC130" i="2"/>
  <c r="AB126" i="2"/>
  <c r="AC126" i="2"/>
  <c r="AB122" i="2"/>
  <c r="AC122" i="2"/>
  <c r="AB118" i="2"/>
  <c r="AC118" i="2"/>
  <c r="AB114" i="2"/>
  <c r="AC114" i="2"/>
  <c r="AB110" i="2"/>
  <c r="AC110" i="2"/>
  <c r="AB94" i="2"/>
  <c r="AC94" i="2"/>
  <c r="AC82" i="2"/>
  <c r="AB70" i="2"/>
  <c r="AC70" i="2"/>
  <c r="AB42" i="2"/>
  <c r="AC42" i="2"/>
  <c r="AC30" i="2"/>
  <c r="AB18" i="2"/>
  <c r="AC18" i="2"/>
  <c r="AI8" i="2"/>
  <c r="AA5" i="1"/>
  <c r="P192" i="2"/>
  <c r="Q192" i="2"/>
  <c r="AB200" i="2"/>
  <c r="AB199" i="2"/>
  <c r="AC199" i="2"/>
  <c r="V199" i="2"/>
  <c r="W199" i="2"/>
  <c r="P199" i="2"/>
  <c r="Q199" i="2"/>
  <c r="AI194" i="2"/>
  <c r="AD194" i="2"/>
  <c r="AI19" i="2"/>
  <c r="AD50" i="2"/>
  <c r="AG176" i="2"/>
  <c r="AG34" i="2"/>
  <c r="AH167" i="2"/>
  <c r="AG130" i="2"/>
  <c r="AK193" i="2"/>
  <c r="AK194" i="2"/>
  <c r="AK195" i="2"/>
  <c r="AK199" i="2"/>
  <c r="AK196" i="2"/>
  <c r="AU196" i="2" s="1"/>
  <c r="AK197" i="2"/>
  <c r="AK198" i="2"/>
  <c r="P135" i="2"/>
  <c r="Q135" i="2"/>
  <c r="V136" i="2"/>
  <c r="W136" i="2"/>
  <c r="P137" i="2"/>
  <c r="Q137" i="2"/>
  <c r="V138" i="2"/>
  <c r="W138" i="2"/>
  <c r="P139" i="2"/>
  <c r="Q139" i="2"/>
  <c r="V140" i="2"/>
  <c r="W140" i="2"/>
  <c r="P141" i="2"/>
  <c r="Q141" i="2"/>
  <c r="V142" i="2"/>
  <c r="W142" i="2"/>
  <c r="P145" i="2"/>
  <c r="Q145" i="2"/>
  <c r="V146" i="2"/>
  <c r="W146" i="2"/>
  <c r="P149" i="2"/>
  <c r="Q149" i="2"/>
  <c r="V150" i="2"/>
  <c r="W150" i="2"/>
  <c r="P153" i="2"/>
  <c r="Q153" i="2"/>
  <c r="V154" i="2"/>
  <c r="W154" i="2"/>
  <c r="P157" i="2"/>
  <c r="Q157" i="2"/>
  <c r="V158" i="2"/>
  <c r="W158" i="2"/>
  <c r="W162" i="2"/>
  <c r="V168" i="2"/>
  <c r="W168" i="2"/>
  <c r="V172" i="2"/>
  <c r="W172" i="2"/>
  <c r="V176" i="2"/>
  <c r="W176" i="2"/>
  <c r="W180" i="2"/>
  <c r="P126" i="2"/>
  <c r="Q126" i="2"/>
  <c r="P128" i="2"/>
  <c r="Q128" i="2"/>
  <c r="V129" i="2"/>
  <c r="W129" i="2"/>
  <c r="P130" i="2"/>
  <c r="Q130" i="2"/>
  <c r="V131" i="2"/>
  <c r="W131" i="2"/>
  <c r="P132" i="2"/>
  <c r="Q132" i="2"/>
  <c r="V133" i="2"/>
  <c r="W133" i="2"/>
  <c r="P144" i="2"/>
  <c r="Q144" i="2"/>
  <c r="V145" i="2"/>
  <c r="W145" i="2"/>
  <c r="P148" i="2"/>
  <c r="Q148" i="2"/>
  <c r="V149" i="2"/>
  <c r="W149" i="2"/>
  <c r="P152" i="2"/>
  <c r="Q152" i="2"/>
  <c r="V153" i="2"/>
  <c r="W153" i="2"/>
  <c r="P156" i="2"/>
  <c r="Q156" i="2"/>
  <c r="V157" i="2"/>
  <c r="W157" i="2"/>
  <c r="P160" i="2"/>
  <c r="Q160" i="2"/>
  <c r="V177" i="2"/>
  <c r="W177" i="2"/>
  <c r="V181" i="2"/>
  <c r="W181" i="2"/>
  <c r="Q3" i="2"/>
  <c r="P3" i="2"/>
  <c r="V121" i="2"/>
  <c r="W121" i="2"/>
  <c r="P120" i="2"/>
  <c r="Q120" i="2"/>
  <c r="P116" i="2"/>
  <c r="Q116" i="2"/>
  <c r="P112" i="2"/>
  <c r="Q112" i="2"/>
  <c r="V109" i="2"/>
  <c r="W109" i="2"/>
  <c r="P108" i="2"/>
  <c r="Q108" i="2"/>
  <c r="P96" i="2"/>
  <c r="Q96" i="2"/>
  <c r="V81" i="2"/>
  <c r="W81" i="2"/>
  <c r="W69" i="2"/>
  <c r="P68" i="2"/>
  <c r="Q68" i="2"/>
  <c r="V57" i="2"/>
  <c r="W57" i="2"/>
  <c r="Q56" i="2"/>
  <c r="P44" i="2"/>
  <c r="Q44" i="2"/>
  <c r="V29" i="2"/>
  <c r="W29" i="2"/>
  <c r="W17" i="2"/>
  <c r="P16" i="2"/>
  <c r="Q16" i="2"/>
  <c r="P5" i="2"/>
  <c r="Q5" i="2"/>
  <c r="AB165" i="2"/>
  <c r="AC165" i="2"/>
  <c r="AB161" i="2"/>
  <c r="AC161" i="2"/>
  <c r="AB157" i="2"/>
  <c r="AC157" i="2"/>
  <c r="AB153" i="2"/>
  <c r="AC153" i="2"/>
  <c r="AB133" i="2"/>
  <c r="AC133" i="2"/>
  <c r="AB125" i="2"/>
  <c r="AC125" i="2"/>
  <c r="AB121" i="2"/>
  <c r="AC121" i="2"/>
  <c r="AB113" i="2"/>
  <c r="AC113" i="2"/>
  <c r="AB81" i="2"/>
  <c r="AC81" i="2"/>
  <c r="AC69" i="2"/>
  <c r="AB57" i="2"/>
  <c r="AC57" i="2"/>
  <c r="AB29" i="2"/>
  <c r="AC29" i="2"/>
  <c r="AC17" i="2"/>
  <c r="AB5" i="2"/>
  <c r="AC5" i="2"/>
  <c r="V124" i="2"/>
  <c r="W124" i="2"/>
  <c r="P123" i="2"/>
  <c r="Q123" i="2"/>
  <c r="V120" i="2"/>
  <c r="W120" i="2"/>
  <c r="P119" i="2"/>
  <c r="Q119" i="2"/>
  <c r="V116" i="2"/>
  <c r="W116" i="2"/>
  <c r="P115" i="2"/>
  <c r="Q115" i="2"/>
  <c r="V112" i="2"/>
  <c r="W112" i="2"/>
  <c r="P111" i="2"/>
  <c r="Q111" i="2"/>
  <c r="V108" i="2"/>
  <c r="W108" i="2"/>
  <c r="P107" i="2"/>
  <c r="Q107" i="2"/>
  <c r="V96" i="2"/>
  <c r="W96" i="2"/>
  <c r="Q95" i="2"/>
  <c r="P83" i="2"/>
  <c r="Q83" i="2"/>
  <c r="V68" i="2"/>
  <c r="W68" i="2"/>
  <c r="W56" i="2"/>
  <c r="P55" i="2"/>
  <c r="Q55" i="2"/>
  <c r="V44" i="2"/>
  <c r="W44" i="2"/>
  <c r="Q43" i="2"/>
  <c r="P31" i="2"/>
  <c r="Q31" i="2"/>
  <c r="V16" i="2"/>
  <c r="W16" i="2"/>
  <c r="AC3" i="2"/>
  <c r="AB3" i="2"/>
  <c r="AC180" i="2"/>
  <c r="AB176" i="2"/>
  <c r="AC176" i="2"/>
  <c r="AB172" i="2"/>
  <c r="AC172" i="2"/>
  <c r="AB168" i="2"/>
  <c r="AC168" i="2"/>
  <c r="AB164" i="2"/>
  <c r="AC164" i="2"/>
  <c r="AB160" i="2"/>
  <c r="AC160" i="2"/>
  <c r="AB156" i="2"/>
  <c r="AC156" i="2"/>
  <c r="AB152" i="2"/>
  <c r="AC152" i="2"/>
  <c r="AB148" i="2"/>
  <c r="AC148" i="2"/>
  <c r="AB144" i="2"/>
  <c r="AC144" i="2"/>
  <c r="AB140" i="2"/>
  <c r="AC140" i="2"/>
  <c r="AB136" i="2"/>
  <c r="AC136" i="2"/>
  <c r="AB132" i="2"/>
  <c r="AC132" i="2"/>
  <c r="AB128" i="2"/>
  <c r="AC128" i="2"/>
  <c r="AB124" i="2"/>
  <c r="AC124" i="2"/>
  <c r="AB120" i="2"/>
  <c r="AC120" i="2"/>
  <c r="AB116" i="2"/>
  <c r="AC116" i="2"/>
  <c r="AB112" i="2"/>
  <c r="AC112" i="2"/>
  <c r="AB108" i="2"/>
  <c r="AC108" i="2"/>
  <c r="AB96" i="2"/>
  <c r="AC96" i="2"/>
  <c r="AB68" i="2"/>
  <c r="AC68" i="2"/>
  <c r="AC56" i="2"/>
  <c r="AB44" i="2"/>
  <c r="AC44" i="2"/>
  <c r="AB16" i="2"/>
  <c r="AC16" i="2"/>
  <c r="AC4" i="2"/>
  <c r="AZ132" i="2"/>
  <c r="AI6" i="2"/>
  <c r="AD12" i="2"/>
  <c r="AI46" i="2"/>
  <c r="AZ131" i="2"/>
  <c r="AK28" i="2"/>
  <c r="AU28" i="2" s="1"/>
  <c r="AK24" i="2"/>
  <c r="AU24" i="2" s="1"/>
  <c r="AK20" i="2"/>
  <c r="AU20" i="2" s="1"/>
  <c r="AK16" i="2"/>
  <c r="AK25" i="2"/>
  <c r="AU25" i="2" s="1"/>
  <c r="AK21" i="2"/>
  <c r="AU21" i="2" s="1"/>
  <c r="AA16" i="1"/>
  <c r="AZ192" i="2"/>
  <c r="AB192" i="2"/>
  <c r="V192" i="2"/>
  <c r="AK200" i="2"/>
  <c r="Z200" i="2"/>
  <c r="AJ200" i="2" s="1"/>
  <c r="V200" i="2"/>
  <c r="W200" i="2"/>
  <c r="P200" i="2"/>
  <c r="Q200" i="2"/>
  <c r="AD200" i="2"/>
  <c r="AD198" i="2"/>
  <c r="AD196" i="2"/>
  <c r="N7" i="16"/>
  <c r="AR166" i="2" s="1"/>
  <c r="L7" i="16"/>
  <c r="J7" i="16"/>
  <c r="H7" i="16"/>
  <c r="F7" i="16"/>
  <c r="P7" i="16"/>
  <c r="AR168" i="2" s="1"/>
  <c r="AN190" i="2"/>
  <c r="AW190" i="2" s="1"/>
  <c r="AN188" i="2"/>
  <c r="AW188" i="2" s="1"/>
  <c r="AN186" i="2"/>
  <c r="AW186" i="2" s="1"/>
  <c r="AN184" i="2"/>
  <c r="AW184" i="2" s="1"/>
  <c r="AN182" i="2"/>
  <c r="AW182" i="2" s="1"/>
  <c r="AN180" i="2"/>
  <c r="AW180" i="2" s="1"/>
  <c r="AN159" i="2"/>
  <c r="AW159" i="2" s="1"/>
  <c r="AN157" i="2"/>
  <c r="AW157" i="2" s="1"/>
  <c r="AN155" i="2"/>
  <c r="AW155" i="2" s="1"/>
  <c r="AN153" i="2"/>
  <c r="AW153" i="2" s="1"/>
  <c r="AN139" i="2"/>
  <c r="AW139" i="2" s="1"/>
  <c r="AN137" i="2"/>
  <c r="AW137" i="2" s="1"/>
  <c r="AN127" i="2"/>
  <c r="AW127" i="2" s="1"/>
  <c r="AN125" i="2"/>
  <c r="AW125" i="2" s="1"/>
  <c r="AN123" i="2"/>
  <c r="AW123" i="2" s="1"/>
  <c r="Q198" i="2"/>
  <c r="Q197" i="2"/>
  <c r="Q196" i="2"/>
  <c r="Q195" i="2"/>
  <c r="Q194" i="2"/>
  <c r="Q193" i="2"/>
  <c r="W198" i="2"/>
  <c r="W196" i="2"/>
  <c r="W193" i="2"/>
  <c r="AF199" i="2"/>
  <c r="AB198" i="2"/>
  <c r="AC198" i="2"/>
  <c r="AB197" i="2"/>
  <c r="AC197" i="2"/>
  <c r="AB196" i="2"/>
  <c r="AC196" i="2"/>
  <c r="AF195" i="2"/>
  <c r="AB194" i="2"/>
  <c r="AC194" i="2"/>
  <c r="T194" i="2"/>
  <c r="AB193" i="2"/>
  <c r="E7" i="16"/>
  <c r="M7" i="16"/>
  <c r="AR165" i="2" s="1"/>
  <c r="K7" i="16"/>
  <c r="I7" i="16"/>
  <c r="G7" i="16"/>
  <c r="Q7" i="16"/>
  <c r="AR169" i="2" s="1"/>
  <c r="AN3" i="2"/>
  <c r="AW3" i="2" s="1"/>
  <c r="AN191" i="2"/>
  <c r="AW191" i="2" s="1"/>
  <c r="AN189" i="2"/>
  <c r="AW189" i="2" s="1"/>
  <c r="AN187" i="2"/>
  <c r="AW187" i="2" s="1"/>
  <c r="AN185" i="2"/>
  <c r="AW185" i="2" s="1"/>
  <c r="AN183" i="2"/>
  <c r="AW183" i="2" s="1"/>
  <c r="AN181" i="2"/>
  <c r="AW181" i="2" s="1"/>
  <c r="AN179" i="2"/>
  <c r="AW179" i="2" s="1"/>
  <c r="AN160" i="2"/>
  <c r="AW160" i="2" s="1"/>
  <c r="AN158" i="2"/>
  <c r="AW158" i="2" s="1"/>
  <c r="AN156" i="2"/>
  <c r="AW156" i="2" s="1"/>
  <c r="AN154" i="2"/>
  <c r="AW154" i="2" s="1"/>
  <c r="AN152" i="2"/>
  <c r="AW152" i="2" s="1"/>
  <c r="AN140" i="2"/>
  <c r="AW140" i="2" s="1"/>
  <c r="AN138" i="2"/>
  <c r="AW138" i="2" s="1"/>
  <c r="AN136" i="2"/>
  <c r="AW136" i="2" s="1"/>
  <c r="AN134" i="2"/>
  <c r="AW134" i="2" s="1"/>
  <c r="AT3" i="2"/>
  <c r="AS3" i="2"/>
  <c r="AP3" i="2"/>
  <c r="AQ3" i="2"/>
  <c r="AT4" i="2"/>
  <c r="AS4" i="2"/>
  <c r="AQ4" i="2"/>
  <c r="AP4" i="2"/>
  <c r="AT199" i="2"/>
  <c r="AS199" i="2"/>
  <c r="AQ199" i="2"/>
  <c r="AP199" i="2"/>
  <c r="AT197" i="2"/>
  <c r="AS197" i="2"/>
  <c r="AQ197" i="2"/>
  <c r="AP197" i="2"/>
  <c r="AT195" i="2"/>
  <c r="AS195" i="2"/>
  <c r="AQ195" i="2"/>
  <c r="AP195" i="2"/>
  <c r="AT193" i="2"/>
  <c r="AS193" i="2"/>
  <c r="AQ193" i="2"/>
  <c r="AP193" i="2"/>
  <c r="AT191" i="2"/>
  <c r="AS191" i="2"/>
  <c r="AQ191" i="2"/>
  <c r="AP191" i="2"/>
  <c r="AT189" i="2"/>
  <c r="AS189" i="2"/>
  <c r="AQ189" i="2"/>
  <c r="AP189" i="2"/>
  <c r="AT187" i="2"/>
  <c r="AS187" i="2"/>
  <c r="AQ187" i="2"/>
  <c r="AP187" i="2"/>
  <c r="AT185" i="2"/>
  <c r="AS185" i="2"/>
  <c r="AQ185" i="2"/>
  <c r="AP185" i="2"/>
  <c r="AT183" i="2"/>
  <c r="AS183" i="2"/>
  <c r="AQ183" i="2"/>
  <c r="AP183" i="2"/>
  <c r="AT181" i="2"/>
  <c r="AS181" i="2"/>
  <c r="AQ181" i="2"/>
  <c r="AP181" i="2"/>
  <c r="AT179" i="2"/>
  <c r="AS179" i="2"/>
  <c r="AQ179" i="2"/>
  <c r="AP179" i="2"/>
  <c r="AT177" i="2"/>
  <c r="AS177" i="2"/>
  <c r="AQ177" i="2"/>
  <c r="AP177" i="2"/>
  <c r="AT175" i="2"/>
  <c r="AS175" i="2"/>
  <c r="AQ175" i="2"/>
  <c r="AP175" i="2"/>
  <c r="AT173" i="2"/>
  <c r="AS173" i="2"/>
  <c r="AQ173" i="2"/>
  <c r="AP173" i="2"/>
  <c r="AT171" i="2"/>
  <c r="AS171" i="2"/>
  <c r="AQ171" i="2"/>
  <c r="AP171" i="2"/>
  <c r="AT5" i="2"/>
  <c r="AS5" i="2"/>
  <c r="AQ5" i="2"/>
  <c r="AP5" i="2"/>
  <c r="AT200" i="2"/>
  <c r="AS200" i="2"/>
  <c r="AP200" i="2"/>
  <c r="AQ200" i="2"/>
  <c r="AT198" i="2"/>
  <c r="AS198" i="2"/>
  <c r="AP198" i="2"/>
  <c r="AQ198" i="2"/>
  <c r="AT196" i="2"/>
  <c r="AS196" i="2"/>
  <c r="AP196" i="2"/>
  <c r="AQ196" i="2"/>
  <c r="AT194" i="2"/>
  <c r="AS194" i="2"/>
  <c r="AP194" i="2"/>
  <c r="AQ194" i="2"/>
  <c r="AT192" i="2"/>
  <c r="AS192" i="2"/>
  <c r="AP192" i="2"/>
  <c r="AQ192" i="2"/>
  <c r="AT190" i="2"/>
  <c r="AS190" i="2"/>
  <c r="AP190" i="2"/>
  <c r="AQ190" i="2"/>
  <c r="AT188" i="2"/>
  <c r="AS188" i="2"/>
  <c r="AP188" i="2"/>
  <c r="AQ188" i="2"/>
  <c r="AT186" i="2"/>
  <c r="AS186" i="2"/>
  <c r="AP186" i="2"/>
  <c r="AQ186" i="2"/>
  <c r="AT184" i="2"/>
  <c r="AS184" i="2"/>
  <c r="AP184" i="2"/>
  <c r="AQ184" i="2"/>
  <c r="AT182" i="2"/>
  <c r="AS182" i="2"/>
  <c r="AQ182" i="2"/>
  <c r="AP182" i="2"/>
  <c r="AT180" i="2"/>
  <c r="AS180" i="2"/>
  <c r="AQ180" i="2"/>
  <c r="AP180" i="2"/>
  <c r="AT178" i="2"/>
  <c r="AS178" i="2"/>
  <c r="AQ178" i="2"/>
  <c r="AP178" i="2"/>
  <c r="AT176" i="2"/>
  <c r="AS176" i="2"/>
  <c r="AQ176" i="2"/>
  <c r="AP176" i="2"/>
  <c r="AT174" i="2"/>
  <c r="AS174" i="2"/>
  <c r="AQ174" i="2"/>
  <c r="AP174" i="2"/>
  <c r="AT172" i="2"/>
  <c r="AS172" i="2"/>
  <c r="AQ172" i="2"/>
  <c r="AP172" i="2"/>
  <c r="AT170" i="2"/>
  <c r="AS170" i="2"/>
  <c r="AQ170" i="2"/>
  <c r="AP170" i="2"/>
  <c r="AT160" i="2"/>
  <c r="AS160" i="2"/>
  <c r="AQ160" i="2"/>
  <c r="AT158" i="2"/>
  <c r="AS158" i="2"/>
  <c r="AQ158" i="2"/>
  <c r="AT156" i="2"/>
  <c r="AS156" i="2"/>
  <c r="AQ156" i="2"/>
  <c r="AT154" i="2"/>
  <c r="AS154" i="2"/>
  <c r="AQ154" i="2"/>
  <c r="AT152" i="2"/>
  <c r="AS152" i="2"/>
  <c r="AQ152" i="2"/>
  <c r="AT150" i="2"/>
  <c r="AS150" i="2"/>
  <c r="AQ150" i="2"/>
  <c r="AT148" i="2"/>
  <c r="AS148" i="2"/>
  <c r="AQ148" i="2"/>
  <c r="AT146" i="2"/>
  <c r="AS146" i="2"/>
  <c r="AQ146" i="2"/>
  <c r="AT144" i="2"/>
  <c r="AS144" i="2"/>
  <c r="AQ144" i="2"/>
  <c r="AT142" i="2"/>
  <c r="AS142" i="2"/>
  <c r="AQ142" i="2"/>
  <c r="AT140" i="2"/>
  <c r="AS140" i="2"/>
  <c r="AQ140" i="2"/>
  <c r="AT138" i="2"/>
  <c r="AS138" i="2"/>
  <c r="AQ138" i="2"/>
  <c r="AT136" i="2"/>
  <c r="AS136" i="2"/>
  <c r="AQ136" i="2"/>
  <c r="AT134" i="2"/>
  <c r="AS134" i="2"/>
  <c r="AQ134" i="2"/>
  <c r="AT132" i="2"/>
  <c r="AS132" i="2"/>
  <c r="AQ132" i="2"/>
  <c r="AT130" i="2"/>
  <c r="AS130" i="2"/>
  <c r="AQ130" i="2"/>
  <c r="AT128" i="2"/>
  <c r="AS128" i="2"/>
  <c r="AQ128" i="2"/>
  <c r="AT126" i="2"/>
  <c r="AS126" i="2"/>
  <c r="AQ126" i="2"/>
  <c r="AT124" i="2"/>
  <c r="AS124" i="2"/>
  <c r="AQ124" i="2"/>
  <c r="AT122" i="2"/>
  <c r="AS122" i="2"/>
  <c r="AQ122" i="2"/>
  <c r="AT120" i="2"/>
  <c r="AS120" i="2"/>
  <c r="AQ120" i="2"/>
  <c r="AT118" i="2"/>
  <c r="AS118" i="2"/>
  <c r="AQ118" i="2"/>
  <c r="AT116" i="2"/>
  <c r="AS116" i="2"/>
  <c r="AQ116" i="2"/>
  <c r="AT114" i="2"/>
  <c r="AS114" i="2"/>
  <c r="AQ114" i="2"/>
  <c r="AT112" i="2"/>
  <c r="AS112" i="2"/>
  <c r="AQ112" i="2"/>
  <c r="AT110" i="2"/>
  <c r="AS110" i="2"/>
  <c r="AQ110" i="2"/>
  <c r="AT108" i="2"/>
  <c r="AS108" i="2"/>
  <c r="AQ108" i="2"/>
  <c r="AT106" i="2"/>
  <c r="AS106" i="2"/>
  <c r="AQ106" i="2"/>
  <c r="AT104" i="2"/>
  <c r="AS104" i="2"/>
  <c r="AQ104" i="2"/>
  <c r="AT102" i="2"/>
  <c r="AS102" i="2"/>
  <c r="AQ102" i="2"/>
  <c r="AT100" i="2"/>
  <c r="AS100" i="2"/>
  <c r="AQ100" i="2"/>
  <c r="AT98" i="2"/>
  <c r="AS98" i="2"/>
  <c r="AQ98" i="2"/>
  <c r="AT96" i="2"/>
  <c r="AS96" i="2"/>
  <c r="AQ96" i="2"/>
  <c r="AT94" i="2"/>
  <c r="AS94" i="2"/>
  <c r="AQ94" i="2"/>
  <c r="AT92" i="2"/>
  <c r="AS92" i="2"/>
  <c r="AQ92" i="2"/>
  <c r="AT90" i="2"/>
  <c r="AS90" i="2"/>
  <c r="AQ90" i="2"/>
  <c r="AT88" i="2"/>
  <c r="AS88" i="2"/>
  <c r="AQ88" i="2"/>
  <c r="AT86" i="2"/>
  <c r="AS86" i="2"/>
  <c r="AQ86" i="2"/>
  <c r="AT84" i="2"/>
  <c r="AS84" i="2"/>
  <c r="AQ84" i="2"/>
  <c r="AT82" i="2"/>
  <c r="AS82" i="2"/>
  <c r="AQ82" i="2"/>
  <c r="AT80" i="2"/>
  <c r="AS80" i="2"/>
  <c r="AQ80" i="2"/>
  <c r="AT78" i="2"/>
  <c r="AS78" i="2"/>
  <c r="AQ78" i="2"/>
  <c r="AT76" i="2"/>
  <c r="AS76" i="2"/>
  <c r="AQ76" i="2"/>
  <c r="AT74" i="2"/>
  <c r="AS74" i="2"/>
  <c r="AQ74" i="2"/>
  <c r="AT72" i="2"/>
  <c r="AS72" i="2"/>
  <c r="AQ72" i="2"/>
  <c r="AT70" i="2"/>
  <c r="AS70" i="2"/>
  <c r="AQ70" i="2"/>
  <c r="AT68" i="2"/>
  <c r="AS68" i="2"/>
  <c r="AQ68" i="2"/>
  <c r="AT66" i="2"/>
  <c r="AS66" i="2"/>
  <c r="AQ66" i="2"/>
  <c r="AT64" i="2"/>
  <c r="AS64" i="2"/>
  <c r="AQ64" i="2"/>
  <c r="AT62" i="2"/>
  <c r="AS62" i="2"/>
  <c r="AQ62" i="2"/>
  <c r="AT60" i="2"/>
  <c r="AS60" i="2"/>
  <c r="AQ60" i="2"/>
  <c r="AT58" i="2"/>
  <c r="AS58" i="2"/>
  <c r="AQ58" i="2"/>
  <c r="AT56" i="2"/>
  <c r="AS56" i="2"/>
  <c r="AQ56" i="2"/>
  <c r="AT54" i="2"/>
  <c r="AS54" i="2"/>
  <c r="AQ54" i="2"/>
  <c r="AT52" i="2"/>
  <c r="AS52" i="2"/>
  <c r="AQ52" i="2"/>
  <c r="AT50" i="2"/>
  <c r="AS50" i="2"/>
  <c r="AQ50" i="2"/>
  <c r="AT48" i="2"/>
  <c r="AS48" i="2"/>
  <c r="AQ48" i="2"/>
  <c r="AT46" i="2"/>
  <c r="AS46" i="2"/>
  <c r="AQ46" i="2"/>
  <c r="AT44" i="2"/>
  <c r="AS44" i="2"/>
  <c r="AQ44" i="2"/>
  <c r="AT42" i="2"/>
  <c r="AS42" i="2"/>
  <c r="AQ42" i="2"/>
  <c r="AT40" i="2"/>
  <c r="AS40" i="2"/>
  <c r="AQ40" i="2"/>
  <c r="AT38" i="2"/>
  <c r="AS38" i="2"/>
  <c r="AQ38" i="2"/>
  <c r="AT36" i="2"/>
  <c r="AS36" i="2"/>
  <c r="AQ36" i="2"/>
  <c r="AT34" i="2"/>
  <c r="AS34" i="2"/>
  <c r="AQ34" i="2"/>
  <c r="AT32" i="2"/>
  <c r="AS32" i="2"/>
  <c r="AQ32" i="2"/>
  <c r="AT30" i="2"/>
  <c r="AS30" i="2"/>
  <c r="AQ30" i="2"/>
  <c r="AT28" i="2"/>
  <c r="AS28" i="2"/>
  <c r="AQ28" i="2"/>
  <c r="AT26" i="2"/>
  <c r="AS26" i="2"/>
  <c r="AQ26" i="2"/>
  <c r="AT24" i="2"/>
  <c r="AS24" i="2"/>
  <c r="AQ24" i="2"/>
  <c r="AT22" i="2"/>
  <c r="AS22" i="2"/>
  <c r="AQ22" i="2"/>
  <c r="AT20" i="2"/>
  <c r="AS20" i="2"/>
  <c r="AQ20" i="2"/>
  <c r="AT18" i="2"/>
  <c r="AS18" i="2"/>
  <c r="AQ18" i="2"/>
  <c r="AT16" i="2"/>
  <c r="AS16" i="2"/>
  <c r="AQ16" i="2"/>
  <c r="AT14" i="2"/>
  <c r="AS14" i="2"/>
  <c r="AQ14" i="2"/>
  <c r="AT12" i="2"/>
  <c r="AS12" i="2"/>
  <c r="AQ12" i="2"/>
  <c r="AT10" i="2"/>
  <c r="AS10" i="2"/>
  <c r="AQ10" i="2"/>
  <c r="AT8" i="2"/>
  <c r="AS8" i="2"/>
  <c r="AQ8" i="2"/>
  <c r="AT6" i="2"/>
  <c r="AS6" i="2"/>
  <c r="AQ6" i="2"/>
  <c r="AP157" i="2"/>
  <c r="AP153" i="2"/>
  <c r="AP149" i="2"/>
  <c r="AP145" i="2"/>
  <c r="AP141" i="2"/>
  <c r="AP137" i="2"/>
  <c r="AP133" i="2"/>
  <c r="AP129" i="2"/>
  <c r="AP125" i="2"/>
  <c r="AP121" i="2"/>
  <c r="AP117" i="2"/>
  <c r="AP113" i="2"/>
  <c r="AP109" i="2"/>
  <c r="AP105" i="2"/>
  <c r="AP101" i="2"/>
  <c r="AP97" i="2"/>
  <c r="AP93" i="2"/>
  <c r="AP89" i="2"/>
  <c r="AP85" i="2"/>
  <c r="AP81" i="2"/>
  <c r="AP77" i="2"/>
  <c r="AP73" i="2"/>
  <c r="AP69" i="2"/>
  <c r="AP65" i="2"/>
  <c r="AP61" i="2"/>
  <c r="AP57" i="2"/>
  <c r="AP53" i="2"/>
  <c r="AS159" i="2"/>
  <c r="AT159" i="2"/>
  <c r="AT157" i="2"/>
  <c r="AS157" i="2"/>
  <c r="AT155" i="2"/>
  <c r="AS155" i="2"/>
  <c r="AT153" i="2"/>
  <c r="AS153" i="2"/>
  <c r="AT151" i="2"/>
  <c r="AS151" i="2"/>
  <c r="AT149" i="2"/>
  <c r="AS149" i="2"/>
  <c r="AT147" i="2"/>
  <c r="AS147" i="2"/>
  <c r="AT145" i="2"/>
  <c r="AS145" i="2"/>
  <c r="AT143" i="2"/>
  <c r="AS143" i="2"/>
  <c r="AT141" i="2"/>
  <c r="AS141" i="2"/>
  <c r="AT139" i="2"/>
  <c r="AS139" i="2"/>
  <c r="AT137" i="2"/>
  <c r="AS137" i="2"/>
  <c r="AT135" i="2"/>
  <c r="AS135" i="2"/>
  <c r="AT133" i="2"/>
  <c r="AS133" i="2"/>
  <c r="AT131" i="2"/>
  <c r="AS131" i="2"/>
  <c r="AT129" i="2"/>
  <c r="AS129" i="2"/>
  <c r="AT127" i="2"/>
  <c r="AS127" i="2"/>
  <c r="AT125" i="2"/>
  <c r="AS125" i="2"/>
  <c r="AT123" i="2"/>
  <c r="AS123" i="2"/>
  <c r="AT121" i="2"/>
  <c r="AS121" i="2"/>
  <c r="AT119" i="2"/>
  <c r="AS119" i="2"/>
  <c r="AT117" i="2"/>
  <c r="AS117" i="2"/>
  <c r="AT115" i="2"/>
  <c r="AS115" i="2"/>
  <c r="AT113" i="2"/>
  <c r="AS113" i="2"/>
  <c r="AT111" i="2"/>
  <c r="AS111" i="2"/>
  <c r="AT109" i="2"/>
  <c r="AS109" i="2"/>
  <c r="AT107" i="2"/>
  <c r="AS107" i="2"/>
  <c r="AT105" i="2"/>
  <c r="AS105" i="2"/>
  <c r="AT103" i="2"/>
  <c r="AS103" i="2"/>
  <c r="AT101" i="2"/>
  <c r="AS101" i="2"/>
  <c r="AT99" i="2"/>
  <c r="AS99" i="2"/>
  <c r="AT97" i="2"/>
  <c r="AS97" i="2"/>
  <c r="AT95" i="2"/>
  <c r="AS95" i="2"/>
  <c r="AT93" i="2"/>
  <c r="AS93" i="2"/>
  <c r="AT91" i="2"/>
  <c r="AS91" i="2"/>
  <c r="AT89" i="2"/>
  <c r="AS89" i="2"/>
  <c r="AT87" i="2"/>
  <c r="AS87" i="2"/>
  <c r="AT85" i="2"/>
  <c r="AS85" i="2"/>
  <c r="AT83" i="2"/>
  <c r="AS83" i="2"/>
  <c r="AT81" i="2"/>
  <c r="AS81" i="2"/>
  <c r="AT79" i="2"/>
  <c r="AS79" i="2"/>
  <c r="AT77" i="2"/>
  <c r="AS77" i="2"/>
  <c r="AT75" i="2"/>
  <c r="AS75" i="2"/>
  <c r="AT73" i="2"/>
  <c r="AS73" i="2"/>
  <c r="AT71" i="2"/>
  <c r="AS71" i="2"/>
  <c r="AT69" i="2"/>
  <c r="AS69" i="2"/>
  <c r="AT67" i="2"/>
  <c r="AS67" i="2"/>
  <c r="AT65" i="2"/>
  <c r="AS65" i="2"/>
  <c r="AT63" i="2"/>
  <c r="AS63" i="2"/>
  <c r="AT61" i="2"/>
  <c r="AS61" i="2"/>
  <c r="AT59" i="2"/>
  <c r="AS59" i="2"/>
  <c r="AT57" i="2"/>
  <c r="AS57" i="2"/>
  <c r="AT55" i="2"/>
  <c r="AS55" i="2"/>
  <c r="AT53" i="2"/>
  <c r="AS53" i="2"/>
  <c r="AT51" i="2"/>
  <c r="AS51" i="2"/>
  <c r="AT49" i="2"/>
  <c r="AS49" i="2"/>
  <c r="AQ49" i="2"/>
  <c r="AT47" i="2"/>
  <c r="AS47" i="2"/>
  <c r="AQ47" i="2"/>
  <c r="AT45" i="2"/>
  <c r="AS45" i="2"/>
  <c r="AQ45" i="2"/>
  <c r="AT43" i="2"/>
  <c r="AS43" i="2"/>
  <c r="AQ43" i="2"/>
  <c r="AT41" i="2"/>
  <c r="AS41" i="2"/>
  <c r="AQ41" i="2"/>
  <c r="AT39" i="2"/>
  <c r="AS39" i="2"/>
  <c r="AQ39" i="2"/>
  <c r="AT37" i="2"/>
  <c r="AS37" i="2"/>
  <c r="AQ37" i="2"/>
  <c r="AT35" i="2"/>
  <c r="AS35" i="2"/>
  <c r="AQ35" i="2"/>
  <c r="AT33" i="2"/>
  <c r="AS33" i="2"/>
  <c r="AQ33" i="2"/>
  <c r="AT31" i="2"/>
  <c r="AS31" i="2"/>
  <c r="AQ31" i="2"/>
  <c r="AT29" i="2"/>
  <c r="AS29" i="2"/>
  <c r="AQ29" i="2"/>
  <c r="AT27" i="2"/>
  <c r="AS27" i="2"/>
  <c r="AQ27" i="2"/>
  <c r="AT25" i="2"/>
  <c r="AS25" i="2"/>
  <c r="AQ25" i="2"/>
  <c r="AT23" i="2"/>
  <c r="AS23" i="2"/>
  <c r="AQ23" i="2"/>
  <c r="AT21" i="2"/>
  <c r="AS21" i="2"/>
  <c r="AQ21" i="2"/>
  <c r="AT19" i="2"/>
  <c r="AS19" i="2"/>
  <c r="AQ19" i="2"/>
  <c r="AT17" i="2"/>
  <c r="AS17" i="2"/>
  <c r="AQ17" i="2"/>
  <c r="AT15" i="2"/>
  <c r="AS15" i="2"/>
  <c r="AQ15" i="2"/>
  <c r="AT13" i="2"/>
  <c r="AS13" i="2"/>
  <c r="AQ13" i="2"/>
  <c r="AT11" i="2"/>
  <c r="AS11" i="2"/>
  <c r="AQ11" i="2"/>
  <c r="AT9" i="2"/>
  <c r="AS9" i="2"/>
  <c r="AQ9" i="2"/>
  <c r="AT7" i="2"/>
  <c r="AS7" i="2"/>
  <c r="AQ7" i="2"/>
  <c r="AP160" i="2"/>
  <c r="AP158" i="2"/>
  <c r="AP156" i="2"/>
  <c r="AP154" i="2"/>
  <c r="AP152" i="2"/>
  <c r="AP150" i="2"/>
  <c r="AP148" i="2"/>
  <c r="AP146" i="2"/>
  <c r="AP144" i="2"/>
  <c r="AP142" i="2"/>
  <c r="AP140" i="2"/>
  <c r="AP138" i="2"/>
  <c r="AP136" i="2"/>
  <c r="AP134" i="2"/>
  <c r="AP132" i="2"/>
  <c r="AP130" i="2"/>
  <c r="AP128" i="2"/>
  <c r="AP126" i="2"/>
  <c r="AP124" i="2"/>
  <c r="AP122" i="2"/>
  <c r="AP120" i="2"/>
  <c r="AP118" i="2"/>
  <c r="AP116" i="2"/>
  <c r="AP114" i="2"/>
  <c r="AP112" i="2"/>
  <c r="AP110" i="2"/>
  <c r="AP108" i="2"/>
  <c r="AP106" i="2"/>
  <c r="AP104" i="2"/>
  <c r="AP102" i="2"/>
  <c r="AP100" i="2"/>
  <c r="AP98" i="2"/>
  <c r="AP96" i="2"/>
  <c r="AP94" i="2"/>
  <c r="AP92" i="2"/>
  <c r="AP90" i="2"/>
  <c r="AP88" i="2"/>
  <c r="AP86" i="2"/>
  <c r="AP84" i="2"/>
  <c r="AP82" i="2"/>
  <c r="AP80" i="2"/>
  <c r="AP78" i="2"/>
  <c r="AP76" i="2"/>
  <c r="AP74" i="2"/>
  <c r="AP72" i="2"/>
  <c r="AP70" i="2"/>
  <c r="AP68" i="2"/>
  <c r="AP66" i="2"/>
  <c r="AP64" i="2"/>
  <c r="AP62" i="2"/>
  <c r="AP60" i="2"/>
  <c r="AP58" i="2"/>
  <c r="AP56" i="2"/>
  <c r="AP54" i="2"/>
  <c r="AP52" i="2"/>
  <c r="AP50" i="2"/>
  <c r="AP48" i="2"/>
  <c r="AP46" i="2"/>
  <c r="AP44" i="2"/>
  <c r="AP42" i="2"/>
  <c r="AP40" i="2"/>
  <c r="AP38" i="2"/>
  <c r="AP36" i="2"/>
  <c r="AP34" i="2"/>
  <c r="AP32" i="2"/>
  <c r="AP30" i="2"/>
  <c r="AP28" i="2"/>
  <c r="AP26" i="2"/>
  <c r="AP24" i="2"/>
  <c r="AP22" i="2"/>
  <c r="AP20" i="2"/>
  <c r="AP18" i="2"/>
  <c r="AP16" i="2"/>
  <c r="AP14" i="2"/>
  <c r="AP12" i="2"/>
  <c r="AP10" i="2"/>
  <c r="AP8" i="2"/>
  <c r="AP6" i="2"/>
  <c r="AQ159" i="2"/>
  <c r="AQ155" i="2"/>
  <c r="AQ151" i="2"/>
  <c r="AQ147" i="2"/>
  <c r="AQ143" i="2"/>
  <c r="AQ139" i="2"/>
  <c r="AQ135" i="2"/>
  <c r="AQ131" i="2"/>
  <c r="AQ127" i="2"/>
  <c r="AQ123" i="2"/>
  <c r="AQ119" i="2"/>
  <c r="AQ115" i="2"/>
  <c r="AQ111" i="2"/>
  <c r="AQ107" i="2"/>
  <c r="AQ103" i="2"/>
  <c r="AQ99" i="2"/>
  <c r="AQ95" i="2"/>
  <c r="AQ91" i="2"/>
  <c r="AQ87" i="2"/>
  <c r="AQ83" i="2"/>
  <c r="AQ79" i="2"/>
  <c r="AQ75" i="2"/>
  <c r="AQ71" i="2"/>
  <c r="AQ67" i="2"/>
  <c r="AQ63" i="2"/>
  <c r="AQ59" i="2"/>
  <c r="AQ55" i="2"/>
  <c r="AQ51" i="2"/>
  <c r="T192" i="2"/>
  <c r="AG192" i="2" s="1"/>
  <c r="AD192" i="2"/>
  <c r="AN128" i="2"/>
  <c r="AW128" i="2" s="1"/>
  <c r="AV128" i="2"/>
  <c r="AN126" i="2"/>
  <c r="AW126" i="2" s="1"/>
  <c r="AV126" i="2"/>
  <c r="AN124" i="2"/>
  <c r="AW124" i="2" s="1"/>
  <c r="AV124" i="2"/>
  <c r="AN122" i="2"/>
  <c r="AW122" i="2" s="1"/>
  <c r="AV122" i="2"/>
  <c r="AN120" i="2"/>
  <c r="AW120" i="2" s="1"/>
  <c r="AV120" i="2"/>
  <c r="AN118" i="2"/>
  <c r="AW118" i="2" s="1"/>
  <c r="AV118" i="2"/>
  <c r="AN116" i="2"/>
  <c r="AW116" i="2" s="1"/>
  <c r="AV116" i="2"/>
  <c r="AN114" i="2"/>
  <c r="AW114" i="2" s="1"/>
  <c r="AV114" i="2"/>
  <c r="AN112" i="2"/>
  <c r="AW112" i="2" s="1"/>
  <c r="AV112" i="2"/>
  <c r="AN110" i="2"/>
  <c r="AW110" i="2" s="1"/>
  <c r="AV110" i="2"/>
  <c r="AN108" i="2"/>
  <c r="AW108" i="2" s="1"/>
  <c r="AV108" i="2"/>
  <c r="AN106" i="2"/>
  <c r="AW106" i="2" s="1"/>
  <c r="AV106" i="2"/>
  <c r="AN104" i="2"/>
  <c r="AW104" i="2" s="1"/>
  <c r="AV104" i="2"/>
  <c r="AN102" i="2"/>
  <c r="AW102" i="2" s="1"/>
  <c r="AV102" i="2"/>
  <c r="AN100" i="2"/>
  <c r="AW100" i="2" s="1"/>
  <c r="AV100" i="2"/>
  <c r="AN98" i="2"/>
  <c r="AW98" i="2" s="1"/>
  <c r="AV98" i="2"/>
  <c r="AN96" i="2"/>
  <c r="AW96" i="2" s="1"/>
  <c r="AV96" i="2"/>
  <c r="AN94" i="2"/>
  <c r="AW94" i="2" s="1"/>
  <c r="AV94" i="2"/>
  <c r="AN92" i="2"/>
  <c r="AW92" i="2" s="1"/>
  <c r="AV92" i="2"/>
  <c r="AN90" i="2"/>
  <c r="AW90" i="2" s="1"/>
  <c r="AV90" i="2"/>
  <c r="AN88" i="2"/>
  <c r="AW88" i="2" s="1"/>
  <c r="AV88" i="2"/>
  <c r="AN86" i="2"/>
  <c r="AW86" i="2" s="1"/>
  <c r="AV86" i="2"/>
  <c r="AN84" i="2"/>
  <c r="AW84" i="2" s="1"/>
  <c r="AV84" i="2"/>
  <c r="AN82" i="2"/>
  <c r="AW82" i="2" s="1"/>
  <c r="AV82" i="2"/>
  <c r="AN80" i="2"/>
  <c r="AW80" i="2" s="1"/>
  <c r="AV80" i="2"/>
  <c r="AN78" i="2"/>
  <c r="AW78" i="2" s="1"/>
  <c r="AV78" i="2"/>
  <c r="AN76" i="2"/>
  <c r="AW76" i="2" s="1"/>
  <c r="AV76" i="2"/>
  <c r="AN74" i="2"/>
  <c r="AW74" i="2" s="1"/>
  <c r="AV74" i="2"/>
  <c r="AN72" i="2"/>
  <c r="AW72" i="2" s="1"/>
  <c r="AV72" i="2"/>
  <c r="AN70" i="2"/>
  <c r="AW70" i="2" s="1"/>
  <c r="AV70" i="2"/>
  <c r="AN68" i="2"/>
  <c r="AW68" i="2" s="1"/>
  <c r="AV68" i="2"/>
  <c r="AN66" i="2"/>
  <c r="AW66" i="2" s="1"/>
  <c r="AV66" i="2"/>
  <c r="AN64" i="2"/>
  <c r="AW64" i="2" s="1"/>
  <c r="AV64" i="2"/>
  <c r="AN62" i="2"/>
  <c r="AW62" i="2" s="1"/>
  <c r="AV62" i="2"/>
  <c r="AN60" i="2"/>
  <c r="AW60" i="2" s="1"/>
  <c r="AV60" i="2"/>
  <c r="AN58" i="2"/>
  <c r="AW58" i="2" s="1"/>
  <c r="AV58" i="2"/>
  <c r="AN56" i="2"/>
  <c r="AW56" i="2" s="1"/>
  <c r="AV56" i="2"/>
  <c r="AN54" i="2"/>
  <c r="AW54" i="2" s="1"/>
  <c r="AV54" i="2"/>
  <c r="AN52" i="2"/>
  <c r="AW52" i="2" s="1"/>
  <c r="AV52" i="2"/>
  <c r="AN50" i="2"/>
  <c r="AW50" i="2" s="1"/>
  <c r="AV50" i="2"/>
  <c r="AN48" i="2"/>
  <c r="AW48" i="2" s="1"/>
  <c r="AV48" i="2"/>
  <c r="AN46" i="2"/>
  <c r="AW46" i="2" s="1"/>
  <c r="AV46" i="2"/>
  <c r="AN44" i="2"/>
  <c r="AW44" i="2" s="1"/>
  <c r="AV44" i="2"/>
  <c r="AN42" i="2"/>
  <c r="AW42" i="2" s="1"/>
  <c r="AV42" i="2"/>
  <c r="AN40" i="2"/>
  <c r="AW40" i="2" s="1"/>
  <c r="AV40" i="2"/>
  <c r="AN38" i="2"/>
  <c r="AW38" i="2" s="1"/>
  <c r="AV38" i="2"/>
  <c r="AN36" i="2"/>
  <c r="AW36" i="2" s="1"/>
  <c r="AV36" i="2"/>
  <c r="AN34" i="2"/>
  <c r="AW34" i="2" s="1"/>
  <c r="AV34" i="2"/>
  <c r="AN32" i="2"/>
  <c r="AW32" i="2" s="1"/>
  <c r="AV32" i="2"/>
  <c r="AN30" i="2"/>
  <c r="AW30" i="2" s="1"/>
  <c r="AV30" i="2"/>
  <c r="AN28" i="2"/>
  <c r="AW28" i="2" s="1"/>
  <c r="AV28" i="2"/>
  <c r="AN26" i="2"/>
  <c r="AW26" i="2" s="1"/>
  <c r="AV26" i="2"/>
  <c r="AN24" i="2"/>
  <c r="AW24" i="2" s="1"/>
  <c r="AV24" i="2"/>
  <c r="AN22" i="2"/>
  <c r="AW22" i="2" s="1"/>
  <c r="AV22" i="2"/>
  <c r="AN20" i="2"/>
  <c r="AW20" i="2" s="1"/>
  <c r="AV20" i="2"/>
  <c r="AN18" i="2"/>
  <c r="AW18" i="2" s="1"/>
  <c r="AV18" i="2"/>
  <c r="AN16" i="2"/>
  <c r="AW16" i="2" s="1"/>
  <c r="AV16" i="2"/>
  <c r="AN14" i="2"/>
  <c r="AW14" i="2" s="1"/>
  <c r="AV14" i="2"/>
  <c r="AN12" i="2"/>
  <c r="AW12" i="2" s="1"/>
  <c r="AV12" i="2"/>
  <c r="AN10" i="2"/>
  <c r="AW10" i="2" s="1"/>
  <c r="AV10" i="2"/>
  <c r="AN8" i="2"/>
  <c r="AW8" i="2" s="1"/>
  <c r="AV8" i="2"/>
  <c r="AN6" i="2"/>
  <c r="AW6" i="2" s="1"/>
  <c r="AV6" i="2"/>
  <c r="AN4" i="2"/>
  <c r="AW4" i="2" s="1"/>
  <c r="AV4" i="2"/>
  <c r="AV200" i="2"/>
  <c r="AV198" i="2"/>
  <c r="AV196" i="2"/>
  <c r="AV194" i="2"/>
  <c r="AV190" i="2"/>
  <c r="AV188" i="2"/>
  <c r="AV186" i="2"/>
  <c r="AV184" i="2"/>
  <c r="AV182" i="2"/>
  <c r="AV180" i="2"/>
  <c r="AV178" i="2"/>
  <c r="AV176" i="2"/>
  <c r="AV174" i="2"/>
  <c r="AV172" i="2"/>
  <c r="AV170" i="2"/>
  <c r="AV159" i="2"/>
  <c r="AV157" i="2"/>
  <c r="AV155" i="2"/>
  <c r="AX155" i="2" s="1"/>
  <c r="BA155" i="2" s="1"/>
  <c r="BB155" i="2" s="1"/>
  <c r="AV153" i="2"/>
  <c r="AX153" i="2" s="1"/>
  <c r="BA153" i="2" s="1"/>
  <c r="BB153" i="2" s="1"/>
  <c r="AV151" i="2"/>
  <c r="AV149" i="2"/>
  <c r="AV147" i="2"/>
  <c r="AV145" i="2"/>
  <c r="AV143" i="2"/>
  <c r="AV139" i="2"/>
  <c r="AV137" i="2"/>
  <c r="AX137" i="2" s="1"/>
  <c r="BA137" i="2" s="1"/>
  <c r="BB137" i="2" s="1"/>
  <c r="AV134" i="2"/>
  <c r="AX134" i="2" s="1"/>
  <c r="BA134" i="2" s="1"/>
  <c r="BB134" i="2" s="1"/>
  <c r="AV125" i="2"/>
  <c r="AX125" i="2" s="1"/>
  <c r="BA125" i="2" s="1"/>
  <c r="BB125" i="2" s="1"/>
  <c r="AN135" i="2"/>
  <c r="AW135" i="2" s="1"/>
  <c r="AV135" i="2"/>
  <c r="AN121" i="2"/>
  <c r="AW121" i="2" s="1"/>
  <c r="AV121" i="2"/>
  <c r="AN119" i="2"/>
  <c r="AW119" i="2" s="1"/>
  <c r="AV119" i="2"/>
  <c r="AN117" i="2"/>
  <c r="AW117" i="2" s="1"/>
  <c r="AV117" i="2"/>
  <c r="AN115" i="2"/>
  <c r="AW115" i="2" s="1"/>
  <c r="AV115" i="2"/>
  <c r="AN113" i="2"/>
  <c r="AW113" i="2" s="1"/>
  <c r="AV113" i="2"/>
  <c r="AN111" i="2"/>
  <c r="AW111" i="2" s="1"/>
  <c r="AV111" i="2"/>
  <c r="AN109" i="2"/>
  <c r="AW109" i="2" s="1"/>
  <c r="AV109" i="2"/>
  <c r="AN107" i="2"/>
  <c r="AW107" i="2" s="1"/>
  <c r="AV107" i="2"/>
  <c r="AN105" i="2"/>
  <c r="AW105" i="2" s="1"/>
  <c r="AV105" i="2"/>
  <c r="AN103" i="2"/>
  <c r="AW103" i="2" s="1"/>
  <c r="AV103" i="2"/>
  <c r="AN101" i="2"/>
  <c r="AW101" i="2" s="1"/>
  <c r="AV101" i="2"/>
  <c r="AN99" i="2"/>
  <c r="AW99" i="2" s="1"/>
  <c r="AV99" i="2"/>
  <c r="AN97" i="2"/>
  <c r="AW97" i="2" s="1"/>
  <c r="AV97" i="2"/>
  <c r="AN95" i="2"/>
  <c r="AW95" i="2" s="1"/>
  <c r="AV95" i="2"/>
  <c r="AN93" i="2"/>
  <c r="AW93" i="2" s="1"/>
  <c r="AV93" i="2"/>
  <c r="AN91" i="2"/>
  <c r="AW91" i="2" s="1"/>
  <c r="AV91" i="2"/>
  <c r="AN89" i="2"/>
  <c r="AW89" i="2" s="1"/>
  <c r="AV89" i="2"/>
  <c r="AN87" i="2"/>
  <c r="AW87" i="2" s="1"/>
  <c r="AV87" i="2"/>
  <c r="AN85" i="2"/>
  <c r="AW85" i="2" s="1"/>
  <c r="AV85" i="2"/>
  <c r="AN83" i="2"/>
  <c r="AW83" i="2" s="1"/>
  <c r="AV83" i="2"/>
  <c r="AN81" i="2"/>
  <c r="AW81" i="2" s="1"/>
  <c r="AV81" i="2"/>
  <c r="AN79" i="2"/>
  <c r="AW79" i="2" s="1"/>
  <c r="AV79" i="2"/>
  <c r="AN77" i="2"/>
  <c r="AW77" i="2" s="1"/>
  <c r="AV77" i="2"/>
  <c r="AN75" i="2"/>
  <c r="AW75" i="2" s="1"/>
  <c r="AV75" i="2"/>
  <c r="AN73" i="2"/>
  <c r="AW73" i="2" s="1"/>
  <c r="AV73" i="2"/>
  <c r="AN71" i="2"/>
  <c r="AW71" i="2" s="1"/>
  <c r="AV71" i="2"/>
  <c r="AN69" i="2"/>
  <c r="AW69" i="2" s="1"/>
  <c r="AV69" i="2"/>
  <c r="AN67" i="2"/>
  <c r="AW67" i="2" s="1"/>
  <c r="AV67" i="2"/>
  <c r="AN65" i="2"/>
  <c r="AW65" i="2" s="1"/>
  <c r="AV65" i="2"/>
  <c r="AN63" i="2"/>
  <c r="AW63" i="2" s="1"/>
  <c r="AV63" i="2"/>
  <c r="AN61" i="2"/>
  <c r="AW61" i="2" s="1"/>
  <c r="AV61" i="2"/>
  <c r="AN59" i="2"/>
  <c r="AW59" i="2" s="1"/>
  <c r="AV59" i="2"/>
  <c r="AN57" i="2"/>
  <c r="AW57" i="2" s="1"/>
  <c r="AV57" i="2"/>
  <c r="AN55" i="2"/>
  <c r="AW55" i="2" s="1"/>
  <c r="AV55" i="2"/>
  <c r="AN53" i="2"/>
  <c r="AW53" i="2" s="1"/>
  <c r="AV53" i="2"/>
  <c r="AN51" i="2"/>
  <c r="AW51" i="2" s="1"/>
  <c r="AV51" i="2"/>
  <c r="AN49" i="2"/>
  <c r="AW49" i="2" s="1"/>
  <c r="AV49" i="2"/>
  <c r="AN47" i="2"/>
  <c r="AW47" i="2" s="1"/>
  <c r="AV47" i="2"/>
  <c r="AN45" i="2"/>
  <c r="AW45" i="2" s="1"/>
  <c r="AV45" i="2"/>
  <c r="AN43" i="2"/>
  <c r="AW43" i="2" s="1"/>
  <c r="AV43" i="2"/>
  <c r="AN41" i="2"/>
  <c r="AW41" i="2" s="1"/>
  <c r="AV41" i="2"/>
  <c r="AN39" i="2"/>
  <c r="AW39" i="2" s="1"/>
  <c r="AV39" i="2"/>
  <c r="AN37" i="2"/>
  <c r="AW37" i="2" s="1"/>
  <c r="AV37" i="2"/>
  <c r="AN35" i="2"/>
  <c r="AW35" i="2" s="1"/>
  <c r="AV35" i="2"/>
  <c r="AN33" i="2"/>
  <c r="AW33" i="2" s="1"/>
  <c r="AV33" i="2"/>
  <c r="AN31" i="2"/>
  <c r="AW31" i="2" s="1"/>
  <c r="AV31" i="2"/>
  <c r="AN29" i="2"/>
  <c r="AW29" i="2" s="1"/>
  <c r="AV29" i="2"/>
  <c r="AN27" i="2"/>
  <c r="AW27" i="2" s="1"/>
  <c r="AV27" i="2"/>
  <c r="AN25" i="2"/>
  <c r="AW25" i="2" s="1"/>
  <c r="AV25" i="2"/>
  <c r="AN23" i="2"/>
  <c r="AW23" i="2" s="1"/>
  <c r="AV23" i="2"/>
  <c r="AN21" i="2"/>
  <c r="AW21" i="2" s="1"/>
  <c r="AV21" i="2"/>
  <c r="AN19" i="2"/>
  <c r="AW19" i="2" s="1"/>
  <c r="AV19" i="2"/>
  <c r="AN17" i="2"/>
  <c r="AW17" i="2" s="1"/>
  <c r="AV17" i="2"/>
  <c r="AN15" i="2"/>
  <c r="AW15" i="2" s="1"/>
  <c r="AV15" i="2"/>
  <c r="AN13" i="2"/>
  <c r="AW13" i="2" s="1"/>
  <c r="AV13" i="2"/>
  <c r="AN11" i="2"/>
  <c r="AW11" i="2" s="1"/>
  <c r="AV11" i="2"/>
  <c r="AN9" i="2"/>
  <c r="AW9" i="2" s="1"/>
  <c r="AV9" i="2"/>
  <c r="AN7" i="2"/>
  <c r="AW7" i="2" s="1"/>
  <c r="AV7" i="2"/>
  <c r="AN5" i="2"/>
  <c r="AW5" i="2" s="1"/>
  <c r="AV5" i="2"/>
  <c r="AV3" i="2"/>
  <c r="AX3" i="2" s="1"/>
  <c r="BA3" i="2" s="1"/>
  <c r="BB3" i="2" s="1"/>
  <c r="AV199" i="2"/>
  <c r="AV197" i="2"/>
  <c r="AV195" i="2"/>
  <c r="AV193" i="2"/>
  <c r="AV191" i="2"/>
  <c r="AV189" i="2"/>
  <c r="AV187" i="2"/>
  <c r="AV185" i="2"/>
  <c r="AV183" i="2"/>
  <c r="AV181" i="2"/>
  <c r="AV179" i="2"/>
  <c r="AV177" i="2"/>
  <c r="AV175" i="2"/>
  <c r="AV173" i="2"/>
  <c r="AV171" i="2"/>
  <c r="AV160" i="2"/>
  <c r="AV158" i="2"/>
  <c r="AV156" i="2"/>
  <c r="AX156" i="2" s="1"/>
  <c r="BA156" i="2" s="1"/>
  <c r="BB156" i="2" s="1"/>
  <c r="AV154" i="2"/>
  <c r="AX154" i="2" s="1"/>
  <c r="BA154" i="2" s="1"/>
  <c r="BB154" i="2" s="1"/>
  <c r="AV152" i="2"/>
  <c r="AX152" i="2" s="1"/>
  <c r="BA152" i="2" s="1"/>
  <c r="BB152" i="2" s="1"/>
  <c r="AV150" i="2"/>
  <c r="AV148" i="2"/>
  <c r="AV146" i="2"/>
  <c r="AV144" i="2"/>
  <c r="AV140" i="2"/>
  <c r="AV138" i="2"/>
  <c r="AX138" i="2" s="1"/>
  <c r="BA138" i="2" s="1"/>
  <c r="BB138" i="2" s="1"/>
  <c r="AV136" i="2"/>
  <c r="AX136" i="2" s="1"/>
  <c r="BA136" i="2" s="1"/>
  <c r="BB136" i="2" s="1"/>
  <c r="AV127" i="2"/>
  <c r="AX127" i="2" s="1"/>
  <c r="BA127" i="2" s="1"/>
  <c r="BB127" i="2" s="1"/>
  <c r="AV123" i="2"/>
  <c r="AN142" i="2"/>
  <c r="AW142" i="2" s="1"/>
  <c r="AV142" i="2"/>
  <c r="AN141" i="2"/>
  <c r="AW141" i="2" s="1"/>
  <c r="AV141" i="2"/>
  <c r="AN133" i="2"/>
  <c r="AW133" i="2" s="1"/>
  <c r="AV133" i="2"/>
  <c r="AN132" i="2"/>
  <c r="AW132" i="2" s="1"/>
  <c r="AV132" i="2"/>
  <c r="AN131" i="2"/>
  <c r="AW131" i="2" s="1"/>
  <c r="AV131" i="2"/>
  <c r="AN130" i="2"/>
  <c r="AW130" i="2" s="1"/>
  <c r="AV130" i="2"/>
  <c r="AN129" i="2"/>
  <c r="AW129" i="2" s="1"/>
  <c r="AV129" i="2"/>
  <c r="Z192" i="2"/>
  <c r="AH192" i="2" s="1"/>
  <c r="F13" i="16"/>
  <c r="H13" i="16"/>
  <c r="J13" i="16"/>
  <c r="L13" i="16"/>
  <c r="N13" i="16"/>
  <c r="P13" i="16"/>
  <c r="E13" i="16"/>
  <c r="G13" i="16"/>
  <c r="I13" i="16"/>
  <c r="K13" i="16"/>
  <c r="M13" i="16"/>
  <c r="O13" i="16"/>
  <c r="AI192" i="2"/>
  <c r="F5" i="12"/>
  <c r="E6" i="12"/>
  <c r="L10" i="12"/>
  <c r="L8" i="12"/>
  <c r="AU197" i="2"/>
  <c r="AU139" i="2"/>
  <c r="AU121" i="2"/>
  <c r="AU157" i="2"/>
  <c r="AU130" i="2"/>
  <c r="AU112" i="2"/>
  <c r="AU148" i="2"/>
  <c r="G5" i="12"/>
  <c r="H5" i="12" s="1"/>
  <c r="I5" i="12" s="1"/>
  <c r="J5" i="12" s="1"/>
  <c r="K5" i="12" s="1"/>
  <c r="L5" i="12" s="1"/>
  <c r="M5" i="12" s="1"/>
  <c r="N5" i="12" s="1"/>
  <c r="F6" i="12"/>
  <c r="AH165" i="2"/>
  <c r="D40" i="12"/>
  <c r="D39" i="12"/>
  <c r="F19" i="12"/>
  <c r="F37" i="12"/>
  <c r="F38" i="12" s="1"/>
  <c r="C19" i="12"/>
  <c r="V95" i="2" s="1"/>
  <c r="C37" i="12"/>
  <c r="C38" i="12" s="1"/>
  <c r="B40" i="12"/>
  <c r="B39" i="12"/>
  <c r="N175" i="2" l="1"/>
  <c r="N171" i="2"/>
  <c r="N178" i="2"/>
  <c r="N174" i="2"/>
  <c r="N170" i="2"/>
  <c r="Y21" i="1"/>
  <c r="N177" i="2"/>
  <c r="N173" i="2"/>
  <c r="N176" i="2"/>
  <c r="N172" i="2"/>
  <c r="Z179" i="2"/>
  <c r="AC179" i="2" s="1"/>
  <c r="Y179" i="2"/>
  <c r="Z175" i="2"/>
  <c r="AC175" i="2" s="1"/>
  <c r="Y175" i="2"/>
  <c r="Z173" i="2"/>
  <c r="AC173" i="2" s="1"/>
  <c r="Y173" i="2"/>
  <c r="Z171" i="2"/>
  <c r="AC171" i="2" s="1"/>
  <c r="Y171" i="2"/>
  <c r="Z169" i="2"/>
  <c r="AC169" i="2" s="1"/>
  <c r="Y169" i="2"/>
  <c r="S167" i="2"/>
  <c r="T167" i="2"/>
  <c r="W167" i="2" s="1"/>
  <c r="S163" i="2"/>
  <c r="T163" i="2"/>
  <c r="W163" i="2" s="1"/>
  <c r="AH155" i="2"/>
  <c r="AJ155" i="2"/>
  <c r="AJ153" i="2"/>
  <c r="AH153" i="2"/>
  <c r="Z149" i="2"/>
  <c r="Y149" i="2"/>
  <c r="Z145" i="2"/>
  <c r="Y145" i="2"/>
  <c r="S143" i="2"/>
  <c r="T143" i="2"/>
  <c r="S141" i="2"/>
  <c r="T141" i="2"/>
  <c r="S139" i="2"/>
  <c r="T139" i="2"/>
  <c r="S137" i="2"/>
  <c r="T137" i="2"/>
  <c r="Z127" i="2"/>
  <c r="AC127" i="2" s="1"/>
  <c r="Y127" i="2"/>
  <c r="S125" i="2"/>
  <c r="T125" i="2"/>
  <c r="Z117" i="2"/>
  <c r="AC117" i="2" s="1"/>
  <c r="Y117" i="2"/>
  <c r="Y115" i="2"/>
  <c r="Z115" i="2"/>
  <c r="T113" i="2"/>
  <c r="S113" i="2"/>
  <c r="Z109" i="2"/>
  <c r="Y109" i="2"/>
  <c r="Z105" i="2"/>
  <c r="AJ105" i="2" s="1"/>
  <c r="Y105" i="2"/>
  <c r="Y12" i="1"/>
  <c r="N191" i="2"/>
  <c r="N187" i="2"/>
  <c r="N183" i="2"/>
  <c r="N179" i="2"/>
  <c r="N190" i="2"/>
  <c r="N186" i="2"/>
  <c r="N182" i="2"/>
  <c r="N189" i="2"/>
  <c r="N185" i="2"/>
  <c r="N181" i="2"/>
  <c r="N188" i="2"/>
  <c r="N184" i="2"/>
  <c r="N180" i="2"/>
  <c r="Y20" i="1"/>
  <c r="N167" i="2"/>
  <c r="N163" i="2"/>
  <c r="N166" i="2"/>
  <c r="N162" i="2"/>
  <c r="N169" i="2"/>
  <c r="N165" i="2"/>
  <c r="N161" i="2"/>
  <c r="N168" i="2"/>
  <c r="N164" i="2"/>
  <c r="Z183" i="2"/>
  <c r="Y183" i="2"/>
  <c r="S186" i="2"/>
  <c r="AG186" i="2" s="1"/>
  <c r="S162" i="2"/>
  <c r="S170" i="2"/>
  <c r="S182" i="2"/>
  <c r="AG182" i="2" s="1"/>
  <c r="AI196" i="2"/>
  <c r="AF196" i="2"/>
  <c r="AZ200" i="2"/>
  <c r="AE200" i="2"/>
  <c r="V198" i="2"/>
  <c r="P196" i="2"/>
  <c r="T195" i="2"/>
  <c r="W195" i="2" s="1"/>
  <c r="AH197" i="2"/>
  <c r="P197" i="2"/>
  <c r="Y195" i="2"/>
  <c r="AZ195" i="2"/>
  <c r="AD195" i="2"/>
  <c r="AI195" i="2"/>
  <c r="AZ194" i="2"/>
  <c r="AZ193" i="2"/>
  <c r="AD193" i="2"/>
  <c r="AI193" i="2"/>
  <c r="AF194" i="2"/>
  <c r="Z193" i="2"/>
  <c r="AC193" i="2" s="1"/>
  <c r="AG193" i="2"/>
  <c r="AI131" i="2"/>
  <c r="AU129" i="2"/>
  <c r="AH121" i="2"/>
  <c r="M177" i="2"/>
  <c r="M173" i="2"/>
  <c r="M176" i="2"/>
  <c r="M172" i="2"/>
  <c r="X21" i="1"/>
  <c r="Z21" i="1" s="1"/>
  <c r="M175" i="2"/>
  <c r="M171" i="2"/>
  <c r="M178" i="2"/>
  <c r="M174" i="2"/>
  <c r="M170" i="2"/>
  <c r="S183" i="2"/>
  <c r="AG183" i="2" s="1"/>
  <c r="T183" i="2"/>
  <c r="Z177" i="2"/>
  <c r="AC177" i="2" s="1"/>
  <c r="Y177" i="2"/>
  <c r="S175" i="2"/>
  <c r="T175" i="2"/>
  <c r="S173" i="2"/>
  <c r="T173" i="2"/>
  <c r="W173" i="2" s="1"/>
  <c r="S171" i="2"/>
  <c r="T171" i="2"/>
  <c r="W171" i="2" s="1"/>
  <c r="S169" i="2"/>
  <c r="T169" i="2"/>
  <c r="S165" i="2"/>
  <c r="T165" i="2"/>
  <c r="W165" i="2" s="1"/>
  <c r="S161" i="2"/>
  <c r="T161" i="2"/>
  <c r="W161" i="2" s="1"/>
  <c r="AG159" i="2"/>
  <c r="AI159" i="2"/>
  <c r="AD159" i="2"/>
  <c r="AI157" i="2"/>
  <c r="AG157" i="2"/>
  <c r="AD157" i="2"/>
  <c r="AG155" i="2"/>
  <c r="AD155" i="2"/>
  <c r="AI155" i="2"/>
  <c r="Y151" i="2"/>
  <c r="Z151" i="2"/>
  <c r="Z147" i="2"/>
  <c r="Y147" i="2"/>
  <c r="Y143" i="2"/>
  <c r="Z143" i="2"/>
  <c r="AC143" i="2" s="1"/>
  <c r="Z141" i="2"/>
  <c r="AC141" i="2" s="1"/>
  <c r="Y141" i="2"/>
  <c r="Z139" i="2"/>
  <c r="AC139" i="2" s="1"/>
  <c r="Y139" i="2"/>
  <c r="Z137" i="2"/>
  <c r="AC137" i="2" s="1"/>
  <c r="Y137" i="2"/>
  <c r="S135" i="2"/>
  <c r="T135" i="2"/>
  <c r="AD133" i="2"/>
  <c r="AI133" i="2"/>
  <c r="AG133" i="2"/>
  <c r="Z129" i="2"/>
  <c r="Y129" i="2"/>
  <c r="S127" i="2"/>
  <c r="T127" i="2"/>
  <c r="T123" i="2"/>
  <c r="S123" i="2"/>
  <c r="Z119" i="2"/>
  <c r="Y119" i="2"/>
  <c r="S117" i="2"/>
  <c r="T117" i="2"/>
  <c r="T115" i="2"/>
  <c r="S115" i="2"/>
  <c r="AJ111" i="2"/>
  <c r="AH111" i="2"/>
  <c r="Y107" i="2"/>
  <c r="Z107" i="2"/>
  <c r="M189" i="2"/>
  <c r="M185" i="2"/>
  <c r="M181" i="2"/>
  <c r="M188" i="2"/>
  <c r="M184" i="2"/>
  <c r="M180" i="2"/>
  <c r="X12" i="1"/>
  <c r="Z12" i="1" s="1"/>
  <c r="M191" i="2"/>
  <c r="M187" i="2"/>
  <c r="M183" i="2"/>
  <c r="M179" i="2"/>
  <c r="M190" i="2"/>
  <c r="M186" i="2"/>
  <c r="M182" i="2"/>
  <c r="X20" i="1"/>
  <c r="Z20" i="1" s="1"/>
  <c r="M169" i="2"/>
  <c r="M165" i="2"/>
  <c r="M161" i="2"/>
  <c r="M168" i="2"/>
  <c r="M164" i="2"/>
  <c r="M167" i="2"/>
  <c r="M163" i="2"/>
  <c r="M166" i="2"/>
  <c r="M162" i="2"/>
  <c r="Z181" i="2"/>
  <c r="AC181" i="2" s="1"/>
  <c r="Y181" i="2"/>
  <c r="Z185" i="2"/>
  <c r="AH185" i="2" s="1"/>
  <c r="Z187" i="2"/>
  <c r="AH187" i="2" s="1"/>
  <c r="Z189" i="2"/>
  <c r="AH189" i="2" s="1"/>
  <c r="Z191" i="2"/>
  <c r="AH191" i="2" s="1"/>
  <c r="AD158" i="2"/>
  <c r="AI158" i="2"/>
  <c r="AG158" i="2"/>
  <c r="AD199" i="2"/>
  <c r="AI199" i="2"/>
  <c r="AZ198" i="2"/>
  <c r="AI198" i="2"/>
  <c r="AF198" i="2"/>
  <c r="AZ199" i="2"/>
  <c r="P198" i="2"/>
  <c r="AZ196" i="2"/>
  <c r="V196" i="2"/>
  <c r="AE195" i="2"/>
  <c r="AJ195" i="2"/>
  <c r="AE199" i="2"/>
  <c r="AJ199" i="2"/>
  <c r="AE198" i="2"/>
  <c r="T197" i="2"/>
  <c r="AZ197" i="2"/>
  <c r="AF197" i="2"/>
  <c r="AD197" i="2"/>
  <c r="AI197" i="2"/>
  <c r="AE196" i="2"/>
  <c r="V195" i="2"/>
  <c r="AH193" i="2"/>
  <c r="V193" i="2"/>
  <c r="AF193" i="2"/>
  <c r="AE193" i="2"/>
  <c r="AJ193" i="2"/>
  <c r="AU128" i="2"/>
  <c r="AH157" i="2"/>
  <c r="B25" i="19"/>
  <c r="E17" i="19"/>
  <c r="E26" i="19" s="1"/>
  <c r="E18" i="19"/>
  <c r="E27" i="19" s="1"/>
  <c r="I17" i="19"/>
  <c r="I26" i="19" s="1"/>
  <c r="I18" i="19"/>
  <c r="I27" i="19" s="1"/>
  <c r="F17" i="19"/>
  <c r="F26" i="19" s="1"/>
  <c r="F18" i="19"/>
  <c r="F27" i="19" s="1"/>
  <c r="J17" i="19"/>
  <c r="J26" i="19" s="1"/>
  <c r="J18" i="19"/>
  <c r="J27" i="19" s="1"/>
  <c r="C17" i="19"/>
  <c r="C26" i="19" s="1"/>
  <c r="C18" i="19"/>
  <c r="C27" i="19" s="1"/>
  <c r="G17" i="19"/>
  <c r="G26" i="19" s="1"/>
  <c r="G18" i="19"/>
  <c r="G27" i="19" s="1"/>
  <c r="D17" i="19"/>
  <c r="D26" i="19" s="1"/>
  <c r="D18" i="19"/>
  <c r="D27" i="19" s="1"/>
  <c r="H17" i="19"/>
  <c r="H26" i="19" s="1"/>
  <c r="H18" i="19"/>
  <c r="H27" i="19" s="1"/>
  <c r="B17" i="19"/>
  <c r="B26" i="19" s="1"/>
  <c r="B18" i="19"/>
  <c r="B27" i="19" s="1"/>
  <c r="AX129" i="2"/>
  <c r="BA129" i="2" s="1"/>
  <c r="BB129" i="2" s="1"/>
  <c r="AX130" i="2"/>
  <c r="BA130" i="2" s="1"/>
  <c r="BB130" i="2" s="1"/>
  <c r="AX4" i="2"/>
  <c r="BA4" i="2" s="1"/>
  <c r="BB4" i="2" s="1"/>
  <c r="AX6" i="2"/>
  <c r="BA6" i="2" s="1"/>
  <c r="BB6" i="2" s="1"/>
  <c r="AX8" i="2"/>
  <c r="BA8" i="2" s="1"/>
  <c r="BB8" i="2" s="1"/>
  <c r="AX10" i="2"/>
  <c r="BA10" i="2" s="1"/>
  <c r="BB10" i="2" s="1"/>
  <c r="AX12" i="2"/>
  <c r="BA12" i="2" s="1"/>
  <c r="BB12" i="2" s="1"/>
  <c r="AX14" i="2"/>
  <c r="BA14" i="2" s="1"/>
  <c r="BB14" i="2" s="1"/>
  <c r="AX18" i="2"/>
  <c r="BA18" i="2" s="1"/>
  <c r="BB18" i="2" s="1"/>
  <c r="AX20" i="2"/>
  <c r="BA20" i="2" s="1"/>
  <c r="BB20" i="2" s="1"/>
  <c r="AX22" i="2"/>
  <c r="BA22" i="2" s="1"/>
  <c r="BB22" i="2" s="1"/>
  <c r="AX24" i="2"/>
  <c r="BA24" i="2" s="1"/>
  <c r="BB24" i="2" s="1"/>
  <c r="AX26" i="2"/>
  <c r="BA26" i="2" s="1"/>
  <c r="BB26" i="2" s="1"/>
  <c r="AX28" i="2"/>
  <c r="BA28" i="2" s="1"/>
  <c r="BB28" i="2" s="1"/>
  <c r="AX30" i="2"/>
  <c r="BA30" i="2" s="1"/>
  <c r="BB30" i="2" s="1"/>
  <c r="AX32" i="2"/>
  <c r="BA32" i="2" s="1"/>
  <c r="BB32" i="2" s="1"/>
  <c r="AX34" i="2"/>
  <c r="BA34" i="2" s="1"/>
  <c r="BB34" i="2" s="1"/>
  <c r="AX36" i="2"/>
  <c r="BA36" i="2" s="1"/>
  <c r="BB36" i="2" s="1"/>
  <c r="AX38" i="2"/>
  <c r="BA38" i="2" s="1"/>
  <c r="BB38" i="2" s="1"/>
  <c r="AX40" i="2"/>
  <c r="BA40" i="2" s="1"/>
  <c r="BB40" i="2" s="1"/>
  <c r="AX44" i="2"/>
  <c r="BA44" i="2" s="1"/>
  <c r="BB44" i="2" s="1"/>
  <c r="AX46" i="2"/>
  <c r="BA46" i="2" s="1"/>
  <c r="BB46" i="2" s="1"/>
  <c r="AX48" i="2"/>
  <c r="BA48" i="2" s="1"/>
  <c r="BB48" i="2" s="1"/>
  <c r="AX50" i="2"/>
  <c r="BA50" i="2" s="1"/>
  <c r="BB50" i="2" s="1"/>
  <c r="AX52" i="2"/>
  <c r="BA52" i="2" s="1"/>
  <c r="BB52" i="2" s="1"/>
  <c r="AX54" i="2"/>
  <c r="BA54" i="2" s="1"/>
  <c r="BB54" i="2" s="1"/>
  <c r="AX56" i="2"/>
  <c r="BA56" i="2" s="1"/>
  <c r="BB56" i="2" s="1"/>
  <c r="AX58" i="2"/>
  <c r="BA58" i="2" s="1"/>
  <c r="BB58" i="2" s="1"/>
  <c r="AX60" i="2"/>
  <c r="BA60" i="2" s="1"/>
  <c r="BB60" i="2" s="1"/>
  <c r="AX62" i="2"/>
  <c r="BA62" i="2" s="1"/>
  <c r="BB62" i="2" s="1"/>
  <c r="AX64" i="2"/>
  <c r="BA64" i="2" s="1"/>
  <c r="BB64" i="2" s="1"/>
  <c r="AX66" i="2"/>
  <c r="BA66" i="2" s="1"/>
  <c r="BB66" i="2" s="1"/>
  <c r="AX70" i="2"/>
  <c r="BA70" i="2" s="1"/>
  <c r="BB70" i="2" s="1"/>
  <c r="AX72" i="2"/>
  <c r="BA72" i="2" s="1"/>
  <c r="BB72" i="2" s="1"/>
  <c r="AX74" i="2"/>
  <c r="BA74" i="2" s="1"/>
  <c r="BB74" i="2" s="1"/>
  <c r="AX76" i="2"/>
  <c r="BA76" i="2" s="1"/>
  <c r="BB76" i="2" s="1"/>
  <c r="AX78" i="2"/>
  <c r="BA78" i="2" s="1"/>
  <c r="BB78" i="2" s="1"/>
  <c r="AX80" i="2"/>
  <c r="BA80" i="2" s="1"/>
  <c r="BB80" i="2" s="1"/>
  <c r="AX82" i="2"/>
  <c r="BA82" i="2" s="1"/>
  <c r="BB82" i="2" s="1"/>
  <c r="AX84" i="2"/>
  <c r="BA84" i="2" s="1"/>
  <c r="BB84" i="2" s="1"/>
  <c r="AX86" i="2"/>
  <c r="BA86" i="2" s="1"/>
  <c r="BB86" i="2" s="1"/>
  <c r="AX88" i="2"/>
  <c r="BA88" i="2" s="1"/>
  <c r="BB88" i="2" s="1"/>
  <c r="AX90" i="2"/>
  <c r="BA90" i="2" s="1"/>
  <c r="BB90" i="2" s="1"/>
  <c r="AX92" i="2"/>
  <c r="BA92" i="2" s="1"/>
  <c r="BB92" i="2" s="1"/>
  <c r="AX94" i="2"/>
  <c r="BA94" i="2" s="1"/>
  <c r="BB94" i="2" s="1"/>
  <c r="AX96" i="2"/>
  <c r="BA96" i="2" s="1"/>
  <c r="BB96" i="2" s="1"/>
  <c r="AX98" i="2"/>
  <c r="BA98" i="2" s="1"/>
  <c r="BB98" i="2" s="1"/>
  <c r="AX100" i="2"/>
  <c r="BA100" i="2" s="1"/>
  <c r="BB100" i="2" s="1"/>
  <c r="AX102" i="2"/>
  <c r="BA102" i="2" s="1"/>
  <c r="BB102" i="2" s="1"/>
  <c r="AX104" i="2"/>
  <c r="BA104" i="2" s="1"/>
  <c r="BB104" i="2" s="1"/>
  <c r="AX106" i="2"/>
  <c r="BA106" i="2" s="1"/>
  <c r="BB106" i="2" s="1"/>
  <c r="AX108" i="2"/>
  <c r="BA108" i="2" s="1"/>
  <c r="BB108" i="2" s="1"/>
  <c r="AX110" i="2"/>
  <c r="BA110" i="2" s="1"/>
  <c r="BB110" i="2" s="1"/>
  <c r="AX112" i="2"/>
  <c r="BA112" i="2" s="1"/>
  <c r="BB112" i="2" s="1"/>
  <c r="AX116" i="2"/>
  <c r="BA116" i="2" s="1"/>
  <c r="BB116" i="2" s="1"/>
  <c r="AX118" i="2"/>
  <c r="BA118" i="2" s="1"/>
  <c r="BB118" i="2" s="1"/>
  <c r="AX120" i="2"/>
  <c r="BA120" i="2" s="1"/>
  <c r="BB120" i="2" s="1"/>
  <c r="AX126" i="2"/>
  <c r="BA126" i="2" s="1"/>
  <c r="BB126" i="2" s="1"/>
  <c r="AX128" i="2"/>
  <c r="BA128" i="2" s="1"/>
  <c r="BB128" i="2" s="1"/>
  <c r="AR161" i="2"/>
  <c r="AE194" i="2"/>
  <c r="AJ194" i="2"/>
  <c r="W194" i="2"/>
  <c r="AR164" i="2"/>
  <c r="AX16" i="2"/>
  <c r="BA16" i="2" s="1"/>
  <c r="BB16" i="2" s="1"/>
  <c r="AU16" i="2"/>
  <c r="AB4" i="2"/>
  <c r="AB20" i="2"/>
  <c r="AB56" i="2"/>
  <c r="AB72" i="2"/>
  <c r="AB180" i="2"/>
  <c r="V7" i="2"/>
  <c r="V20" i="2"/>
  <c r="P43" i="2"/>
  <c r="V56" i="2"/>
  <c r="P59" i="2"/>
  <c r="V72" i="2"/>
  <c r="P95" i="2"/>
  <c r="AB17" i="2"/>
  <c r="AB33" i="2"/>
  <c r="AB69" i="2"/>
  <c r="AB85" i="2"/>
  <c r="V17" i="2"/>
  <c r="P20" i="2"/>
  <c r="V33" i="2"/>
  <c r="P56" i="2"/>
  <c r="V69" i="2"/>
  <c r="P72" i="2"/>
  <c r="V85" i="2"/>
  <c r="P180" i="2"/>
  <c r="P183" i="2"/>
  <c r="V180" i="2"/>
  <c r="AU194" i="2"/>
  <c r="AG194" i="2"/>
  <c r="AB30" i="2"/>
  <c r="AB46" i="2"/>
  <c r="AB82" i="2"/>
  <c r="AB98" i="2"/>
  <c r="P4" i="2"/>
  <c r="P17" i="2"/>
  <c r="V30" i="2"/>
  <c r="P33" i="2"/>
  <c r="V46" i="2"/>
  <c r="P69" i="2"/>
  <c r="V82" i="2"/>
  <c r="P85" i="2"/>
  <c r="V98" i="2"/>
  <c r="AB7" i="2"/>
  <c r="AB43" i="2"/>
  <c r="AB59" i="2"/>
  <c r="AB95" i="2"/>
  <c r="AB183" i="2"/>
  <c r="V4" i="2"/>
  <c r="P7" i="2"/>
  <c r="P30" i="2"/>
  <c r="V43" i="2"/>
  <c r="P46" i="2"/>
  <c r="V59" i="2"/>
  <c r="P82" i="2"/>
  <c r="P98" i="2"/>
  <c r="AX139" i="2"/>
  <c r="BA139" i="2" s="1"/>
  <c r="BB139" i="2" s="1"/>
  <c r="AX157" i="2"/>
  <c r="BA157" i="2" s="1"/>
  <c r="BB157" i="2" s="1"/>
  <c r="AR163" i="2"/>
  <c r="AR162" i="2"/>
  <c r="AL196" i="2"/>
  <c r="AN196" i="2" s="1"/>
  <c r="AW196" i="2" s="1"/>
  <c r="AL197" i="2"/>
  <c r="AN197" i="2" s="1"/>
  <c r="AW197" i="2" s="1"/>
  <c r="AL198" i="2"/>
  <c r="AN198" i="2" s="1"/>
  <c r="AW198" i="2" s="1"/>
  <c r="AL193" i="2"/>
  <c r="AN193" i="2" s="1"/>
  <c r="AW193" i="2" s="1"/>
  <c r="AL194" i="2"/>
  <c r="AN194" i="2" s="1"/>
  <c r="AW194" i="2" s="1"/>
  <c r="AL195" i="2"/>
  <c r="AN195" i="2" s="1"/>
  <c r="AW195" i="2" s="1"/>
  <c r="AL192" i="2"/>
  <c r="AL199" i="2"/>
  <c r="AN199" i="2" s="1"/>
  <c r="AW199" i="2" s="1"/>
  <c r="AL200" i="2"/>
  <c r="AN200" i="2" s="1"/>
  <c r="AW200" i="2" s="1"/>
  <c r="AX195" i="2"/>
  <c r="BA195" i="2" s="1"/>
  <c r="BB195" i="2" s="1"/>
  <c r="AU195" i="2"/>
  <c r="AX193" i="2"/>
  <c r="BA193" i="2" s="1"/>
  <c r="BB193" i="2" s="1"/>
  <c r="AU193" i="2"/>
  <c r="AC200" i="2"/>
  <c r="AH200" i="2"/>
  <c r="AL151" i="2"/>
  <c r="AN151" i="2" s="1"/>
  <c r="AW151" i="2" s="1"/>
  <c r="AL147" i="2"/>
  <c r="AN147" i="2" s="1"/>
  <c r="AW147" i="2" s="1"/>
  <c r="AL143" i="2"/>
  <c r="AN143" i="2" s="1"/>
  <c r="AW143" i="2" s="1"/>
  <c r="AL148" i="2"/>
  <c r="AN148" i="2" s="1"/>
  <c r="AW148" i="2" s="1"/>
  <c r="AL144" i="2"/>
  <c r="AN144" i="2" s="1"/>
  <c r="AW144" i="2" s="1"/>
  <c r="AL149" i="2"/>
  <c r="AN149" i="2" s="1"/>
  <c r="AW149" i="2" s="1"/>
  <c r="AL145" i="2"/>
  <c r="AN145" i="2" s="1"/>
  <c r="AW145" i="2" s="1"/>
  <c r="AL150" i="2"/>
  <c r="AN150" i="2" s="1"/>
  <c r="AW150" i="2" s="1"/>
  <c r="AL146" i="2"/>
  <c r="AN146" i="2" s="1"/>
  <c r="AW146" i="2" s="1"/>
  <c r="AJ192" i="2"/>
  <c r="AC192" i="2"/>
  <c r="AE192" i="2"/>
  <c r="W192" i="2"/>
  <c r="AX5" i="2"/>
  <c r="BA5" i="2" s="1"/>
  <c r="BB5" i="2" s="1"/>
  <c r="AX7" i="2"/>
  <c r="BA7" i="2" s="1"/>
  <c r="BB7" i="2" s="1"/>
  <c r="AX9" i="2"/>
  <c r="BA9" i="2" s="1"/>
  <c r="BB9" i="2" s="1"/>
  <c r="AX11" i="2"/>
  <c r="BA11" i="2" s="1"/>
  <c r="BB11" i="2" s="1"/>
  <c r="AX13" i="2"/>
  <c r="BA13" i="2" s="1"/>
  <c r="BB13" i="2" s="1"/>
  <c r="AX15" i="2"/>
  <c r="BA15" i="2" s="1"/>
  <c r="BB15" i="2" s="1"/>
  <c r="AX17" i="2"/>
  <c r="BA17" i="2" s="1"/>
  <c r="BB17" i="2" s="1"/>
  <c r="AX19" i="2"/>
  <c r="BA19" i="2" s="1"/>
  <c r="BB19" i="2" s="1"/>
  <c r="AX21" i="2"/>
  <c r="BA21" i="2" s="1"/>
  <c r="BB21" i="2" s="1"/>
  <c r="AX23" i="2"/>
  <c r="BA23" i="2" s="1"/>
  <c r="BB23" i="2" s="1"/>
  <c r="AX25" i="2"/>
  <c r="BA25" i="2" s="1"/>
  <c r="BB25" i="2" s="1"/>
  <c r="AX27" i="2"/>
  <c r="BA27" i="2" s="1"/>
  <c r="BB27" i="2" s="1"/>
  <c r="AX31" i="2"/>
  <c r="BA31" i="2" s="1"/>
  <c r="BB31" i="2" s="1"/>
  <c r="AX33" i="2"/>
  <c r="BA33" i="2" s="1"/>
  <c r="BB33" i="2" s="1"/>
  <c r="AX35" i="2"/>
  <c r="BA35" i="2" s="1"/>
  <c r="BB35" i="2" s="1"/>
  <c r="AX37" i="2"/>
  <c r="BA37" i="2" s="1"/>
  <c r="BB37" i="2" s="1"/>
  <c r="AX39" i="2"/>
  <c r="BA39" i="2" s="1"/>
  <c r="BB39" i="2" s="1"/>
  <c r="AX41" i="2"/>
  <c r="BA41" i="2" s="1"/>
  <c r="BB41" i="2" s="1"/>
  <c r="AX43" i="2"/>
  <c r="BA43" i="2" s="1"/>
  <c r="BB43" i="2" s="1"/>
  <c r="AX45" i="2"/>
  <c r="BA45" i="2" s="1"/>
  <c r="BB45" i="2" s="1"/>
  <c r="AX47" i="2"/>
  <c r="BA47" i="2" s="1"/>
  <c r="BB47" i="2" s="1"/>
  <c r="AX49" i="2"/>
  <c r="BA49" i="2" s="1"/>
  <c r="BB49" i="2" s="1"/>
  <c r="AX51" i="2"/>
  <c r="BA51" i="2" s="1"/>
  <c r="BB51" i="2" s="1"/>
  <c r="AX53" i="2"/>
  <c r="BA53" i="2" s="1"/>
  <c r="BB53" i="2" s="1"/>
  <c r="AX57" i="2"/>
  <c r="BA57" i="2" s="1"/>
  <c r="BB57" i="2" s="1"/>
  <c r="AX59" i="2"/>
  <c r="BA59" i="2" s="1"/>
  <c r="BB59" i="2" s="1"/>
  <c r="AX61" i="2"/>
  <c r="BA61" i="2" s="1"/>
  <c r="BB61" i="2" s="1"/>
  <c r="AX63" i="2"/>
  <c r="BA63" i="2" s="1"/>
  <c r="BB63" i="2" s="1"/>
  <c r="AX65" i="2"/>
  <c r="BA65" i="2" s="1"/>
  <c r="BB65" i="2" s="1"/>
  <c r="AX67" i="2"/>
  <c r="BA67" i="2" s="1"/>
  <c r="BB67" i="2" s="1"/>
  <c r="AX71" i="2"/>
  <c r="BA71" i="2" s="1"/>
  <c r="BB71" i="2" s="1"/>
  <c r="AX73" i="2"/>
  <c r="BA73" i="2" s="1"/>
  <c r="BB73" i="2" s="1"/>
  <c r="AX75" i="2"/>
  <c r="BA75" i="2" s="1"/>
  <c r="BB75" i="2" s="1"/>
  <c r="AX77" i="2"/>
  <c r="BA77" i="2" s="1"/>
  <c r="BB77" i="2" s="1"/>
  <c r="AX79" i="2"/>
  <c r="BA79" i="2" s="1"/>
  <c r="BB79" i="2" s="1"/>
  <c r="AX81" i="2"/>
  <c r="BA81" i="2" s="1"/>
  <c r="BB81" i="2" s="1"/>
  <c r="AX83" i="2"/>
  <c r="BA83" i="2" s="1"/>
  <c r="BB83" i="2" s="1"/>
  <c r="AX85" i="2"/>
  <c r="BA85" i="2" s="1"/>
  <c r="BB85" i="2" s="1"/>
  <c r="AX87" i="2"/>
  <c r="BA87" i="2" s="1"/>
  <c r="BB87" i="2" s="1"/>
  <c r="AX89" i="2"/>
  <c r="BA89" i="2" s="1"/>
  <c r="BB89" i="2" s="1"/>
  <c r="AX91" i="2"/>
  <c r="BA91" i="2" s="1"/>
  <c r="BB91" i="2" s="1"/>
  <c r="AX93" i="2"/>
  <c r="BA93" i="2" s="1"/>
  <c r="BB93" i="2" s="1"/>
  <c r="AX95" i="2"/>
  <c r="BA95" i="2" s="1"/>
  <c r="BB95" i="2" s="1"/>
  <c r="AX97" i="2"/>
  <c r="BA97" i="2" s="1"/>
  <c r="BB97" i="2" s="1"/>
  <c r="AX99" i="2"/>
  <c r="BA99" i="2" s="1"/>
  <c r="BB99" i="2" s="1"/>
  <c r="AX101" i="2"/>
  <c r="BA101" i="2" s="1"/>
  <c r="BB101" i="2" s="1"/>
  <c r="AX103" i="2"/>
  <c r="BA103" i="2" s="1"/>
  <c r="BB103" i="2" s="1"/>
  <c r="AX105" i="2"/>
  <c r="BA105" i="2" s="1"/>
  <c r="BB105" i="2" s="1"/>
  <c r="AX107" i="2"/>
  <c r="BA107" i="2" s="1"/>
  <c r="BB107" i="2" s="1"/>
  <c r="AX109" i="2"/>
  <c r="BA109" i="2" s="1"/>
  <c r="BB109" i="2" s="1"/>
  <c r="AX111" i="2"/>
  <c r="BA111" i="2" s="1"/>
  <c r="BB111" i="2" s="1"/>
  <c r="AX117" i="2"/>
  <c r="BA117" i="2" s="1"/>
  <c r="BB117" i="2" s="1"/>
  <c r="AX119" i="2"/>
  <c r="BA119" i="2" s="1"/>
  <c r="BB119" i="2" s="1"/>
  <c r="AX121" i="2"/>
  <c r="BA121" i="2" s="1"/>
  <c r="BB121" i="2" s="1"/>
  <c r="AX135" i="2"/>
  <c r="BA135" i="2" s="1"/>
  <c r="BB135" i="2" s="1"/>
  <c r="E28" i="12"/>
  <c r="E37" i="12"/>
  <c r="E38" i="12" s="1"/>
  <c r="E19" i="12"/>
  <c r="M10" i="12"/>
  <c r="AU198" i="2"/>
  <c r="AU131" i="2"/>
  <c r="AX131" i="2" s="1"/>
  <c r="BA131" i="2" s="1"/>
  <c r="BB131" i="2" s="1"/>
  <c r="AU158" i="2"/>
  <c r="AX158" i="2" s="1"/>
  <c r="BA158" i="2" s="1"/>
  <c r="BB158" i="2" s="1"/>
  <c r="AU113" i="2"/>
  <c r="AX113" i="2" s="1"/>
  <c r="BA113" i="2" s="1"/>
  <c r="BB113" i="2" s="1"/>
  <c r="AU149" i="2"/>
  <c r="M8" i="12"/>
  <c r="AU140" i="2"/>
  <c r="AX140" i="2" s="1"/>
  <c r="BA140" i="2" s="1"/>
  <c r="BB140" i="2" s="1"/>
  <c r="AU122" i="2"/>
  <c r="AX122" i="2" s="1"/>
  <c r="BA122" i="2" s="1"/>
  <c r="BB122" i="2" s="1"/>
  <c r="G6" i="12"/>
  <c r="F28" i="12"/>
  <c r="C40" i="12"/>
  <c r="C39" i="12"/>
  <c r="F40" i="12"/>
  <c r="F39" i="12"/>
  <c r="AJ197" i="2" l="1"/>
  <c r="W197" i="2"/>
  <c r="AE197" i="2"/>
  <c r="AG197" i="2"/>
  <c r="AI166" i="2"/>
  <c r="AD166" i="2"/>
  <c r="AF166" i="2"/>
  <c r="P166" i="2"/>
  <c r="AZ166" i="2"/>
  <c r="AI167" i="2"/>
  <c r="AF167" i="2"/>
  <c r="P167" i="2"/>
  <c r="AZ167" i="2"/>
  <c r="AD168" i="2"/>
  <c r="AF168" i="2"/>
  <c r="AI168" i="2"/>
  <c r="P168" i="2"/>
  <c r="AZ168" i="2"/>
  <c r="AZ165" i="2"/>
  <c r="AF165" i="2"/>
  <c r="AD165" i="2"/>
  <c r="AI165" i="2"/>
  <c r="P165" i="2"/>
  <c r="AA20" i="1"/>
  <c r="AK163" i="2"/>
  <c r="AU163" i="2" s="1"/>
  <c r="AK167" i="2"/>
  <c r="AU167" i="2" s="1"/>
  <c r="AK162" i="2"/>
  <c r="AU162" i="2" s="1"/>
  <c r="AK166" i="2"/>
  <c r="AU166" i="2" s="1"/>
  <c r="AK165" i="2"/>
  <c r="AU165" i="2" s="1"/>
  <c r="AK164" i="2"/>
  <c r="AU164" i="2" s="1"/>
  <c r="AK161" i="2"/>
  <c r="AU161" i="2" s="1"/>
  <c r="AK169" i="2"/>
  <c r="AK168" i="2"/>
  <c r="AZ186" i="2"/>
  <c r="AF186" i="2"/>
  <c r="AI186" i="2"/>
  <c r="AD186" i="2"/>
  <c r="AZ179" i="2"/>
  <c r="AF179" i="2"/>
  <c r="AI179" i="2"/>
  <c r="AD179" i="2"/>
  <c r="P179" i="2"/>
  <c r="AZ187" i="2"/>
  <c r="AD187" i="2"/>
  <c r="AF187" i="2"/>
  <c r="AI187" i="2"/>
  <c r="AA12" i="1"/>
  <c r="AK191" i="2"/>
  <c r="AK181" i="2"/>
  <c r="AK184" i="2"/>
  <c r="AK179" i="2"/>
  <c r="AK187" i="2"/>
  <c r="AK182" i="2"/>
  <c r="AK190" i="2"/>
  <c r="AK185" i="2"/>
  <c r="AK180" i="2"/>
  <c r="AK188" i="2"/>
  <c r="AK183" i="2"/>
  <c r="AK186" i="2"/>
  <c r="AK189" i="2"/>
  <c r="AZ184" i="2"/>
  <c r="AI184" i="2"/>
  <c r="AD184" i="2"/>
  <c r="AF184" i="2"/>
  <c r="AZ181" i="2"/>
  <c r="AF181" i="2"/>
  <c r="AD181" i="2"/>
  <c r="AI181" i="2"/>
  <c r="P181" i="2"/>
  <c r="AZ189" i="2"/>
  <c r="AF189" i="2"/>
  <c r="AD189" i="2"/>
  <c r="AI189" i="2"/>
  <c r="AH107" i="2"/>
  <c r="AI107" i="2"/>
  <c r="AB107" i="2"/>
  <c r="AE115" i="2"/>
  <c r="W115" i="2"/>
  <c r="AI117" i="2"/>
  <c r="AD117" i="2"/>
  <c r="AG117" i="2"/>
  <c r="V117" i="2"/>
  <c r="AJ119" i="2"/>
  <c r="AC119" i="2"/>
  <c r="AJ123" i="2"/>
  <c r="AE123" i="2"/>
  <c r="W123" i="2"/>
  <c r="AI127" i="2"/>
  <c r="AD127" i="2"/>
  <c r="AG127" i="2"/>
  <c r="V127" i="2"/>
  <c r="AJ129" i="2"/>
  <c r="AC129" i="2"/>
  <c r="AE135" i="2"/>
  <c r="AJ135" i="2"/>
  <c r="W135" i="2"/>
  <c r="AH137" i="2"/>
  <c r="AB137" i="2"/>
  <c r="AH139" i="2"/>
  <c r="AB139" i="2"/>
  <c r="AH141" i="2"/>
  <c r="AB141" i="2"/>
  <c r="AH147" i="2"/>
  <c r="AI147" i="2"/>
  <c r="AB147" i="2"/>
  <c r="AJ151" i="2"/>
  <c r="AC151" i="2"/>
  <c r="AG161" i="2"/>
  <c r="V161" i="2"/>
  <c r="V165" i="2"/>
  <c r="AG165" i="2"/>
  <c r="AG169" i="2"/>
  <c r="V169" i="2"/>
  <c r="AG171" i="2"/>
  <c r="V171" i="2"/>
  <c r="AG173" i="2"/>
  <c r="V173" i="2"/>
  <c r="AG175" i="2"/>
  <c r="V175" i="2"/>
  <c r="AZ170" i="2"/>
  <c r="AI170" i="2"/>
  <c r="AD170" i="2"/>
  <c r="AF170" i="2"/>
  <c r="P170" i="2"/>
  <c r="AZ178" i="2"/>
  <c r="AD178" i="2"/>
  <c r="AF178" i="2"/>
  <c r="AI178" i="2"/>
  <c r="P178" i="2"/>
  <c r="AZ175" i="2"/>
  <c r="AD175" i="2"/>
  <c r="AF175" i="2"/>
  <c r="P175" i="2"/>
  <c r="AZ172" i="2"/>
  <c r="AD172" i="2"/>
  <c r="AF172" i="2"/>
  <c r="P172" i="2"/>
  <c r="AI172" i="2"/>
  <c r="AZ173" i="2"/>
  <c r="AD173" i="2"/>
  <c r="AI173" i="2"/>
  <c r="AF173" i="2"/>
  <c r="P173" i="2"/>
  <c r="AG170" i="2"/>
  <c r="V170" i="2"/>
  <c r="AE168" i="2"/>
  <c r="AJ168" i="2"/>
  <c r="Q168" i="2"/>
  <c r="AE165" i="2"/>
  <c r="AJ165" i="2"/>
  <c r="Q165" i="2"/>
  <c r="AE162" i="2"/>
  <c r="AJ162" i="2"/>
  <c r="Q162" i="2"/>
  <c r="AE163" i="2"/>
  <c r="AJ163" i="2"/>
  <c r="Q163" i="2"/>
  <c r="AE184" i="2"/>
  <c r="AJ184" i="2"/>
  <c r="AE181" i="2"/>
  <c r="AJ181" i="2"/>
  <c r="Q181" i="2"/>
  <c r="AJ189" i="2"/>
  <c r="AE189" i="2"/>
  <c r="AE186" i="2"/>
  <c r="AJ186" i="2"/>
  <c r="AJ179" i="2"/>
  <c r="AE179" i="2"/>
  <c r="Q179" i="2"/>
  <c r="AE187" i="2"/>
  <c r="AJ187" i="2"/>
  <c r="AH109" i="2"/>
  <c r="AJ109" i="2"/>
  <c r="AC109" i="2"/>
  <c r="AE113" i="2"/>
  <c r="AJ113" i="2"/>
  <c r="W113" i="2"/>
  <c r="AH115" i="2"/>
  <c r="AB115" i="2"/>
  <c r="AD125" i="2"/>
  <c r="AI125" i="2"/>
  <c r="V125" i="2"/>
  <c r="AG125" i="2"/>
  <c r="AD137" i="2"/>
  <c r="AI137" i="2"/>
  <c r="AG137" i="2"/>
  <c r="V137" i="2"/>
  <c r="AI139" i="2"/>
  <c r="AG139" i="2"/>
  <c r="AD139" i="2"/>
  <c r="V139" i="2"/>
  <c r="AD141" i="2"/>
  <c r="AI141" i="2"/>
  <c r="AG141" i="2"/>
  <c r="V141" i="2"/>
  <c r="AI143" i="2"/>
  <c r="AG143" i="2"/>
  <c r="AD143" i="2"/>
  <c r="V143" i="2"/>
  <c r="AJ145" i="2"/>
  <c r="AC145" i="2"/>
  <c r="AJ149" i="2"/>
  <c r="AC149" i="2"/>
  <c r="AD163" i="2"/>
  <c r="AG163" i="2"/>
  <c r="V163" i="2"/>
  <c r="AD167" i="2"/>
  <c r="AG167" i="2"/>
  <c r="V167" i="2"/>
  <c r="AJ176" i="2"/>
  <c r="AE176" i="2"/>
  <c r="Q176" i="2"/>
  <c r="AE177" i="2"/>
  <c r="AJ177" i="2"/>
  <c r="Q177" i="2"/>
  <c r="AE170" i="2"/>
  <c r="AJ170" i="2"/>
  <c r="Q170" i="2"/>
  <c r="AJ178" i="2"/>
  <c r="AE178" i="2"/>
  <c r="Q178" i="2"/>
  <c r="AJ175" i="2"/>
  <c r="Q175" i="2"/>
  <c r="V183" i="2"/>
  <c r="AB181" i="2"/>
  <c r="AH181" i="2"/>
  <c r="AZ162" i="2"/>
  <c r="AD162" i="2"/>
  <c r="AF162" i="2"/>
  <c r="AI162" i="2"/>
  <c r="P162" i="2"/>
  <c r="AZ163" i="2"/>
  <c r="AF163" i="2"/>
  <c r="AI163" i="2"/>
  <c r="P163" i="2"/>
  <c r="AZ164" i="2"/>
  <c r="AF164" i="2"/>
  <c r="AD164" i="2"/>
  <c r="AI164" i="2"/>
  <c r="P164" i="2"/>
  <c r="AZ161" i="2"/>
  <c r="AF161" i="2"/>
  <c r="AD161" i="2"/>
  <c r="AI161" i="2"/>
  <c r="P161" i="2"/>
  <c r="AD169" i="2"/>
  <c r="AF169" i="2"/>
  <c r="P169" i="2"/>
  <c r="AZ169" i="2"/>
  <c r="AZ182" i="2"/>
  <c r="AF182" i="2"/>
  <c r="AD182" i="2"/>
  <c r="AI182" i="2"/>
  <c r="AZ190" i="2"/>
  <c r="AF190" i="2"/>
  <c r="AI190" i="2"/>
  <c r="AD190" i="2"/>
  <c r="AZ183" i="2"/>
  <c r="AD183" i="2"/>
  <c r="AF183" i="2"/>
  <c r="AI183" i="2"/>
  <c r="AZ191" i="2"/>
  <c r="AF191" i="2"/>
  <c r="AD191" i="2"/>
  <c r="AZ180" i="2"/>
  <c r="AD180" i="2"/>
  <c r="AF180" i="2"/>
  <c r="AI180" i="2"/>
  <c r="AZ188" i="2"/>
  <c r="AD188" i="2"/>
  <c r="AF188" i="2"/>
  <c r="AI188" i="2"/>
  <c r="AZ185" i="2"/>
  <c r="AD185" i="2"/>
  <c r="AF185" i="2"/>
  <c r="AI185" i="2"/>
  <c r="AC107" i="2"/>
  <c r="AJ107" i="2"/>
  <c r="AI115" i="2"/>
  <c r="AD115" i="2"/>
  <c r="AG115" i="2"/>
  <c r="V115" i="2"/>
  <c r="AE117" i="2"/>
  <c r="AJ117" i="2"/>
  <c r="W117" i="2"/>
  <c r="AI119" i="2"/>
  <c r="AH119" i="2"/>
  <c r="AB119" i="2"/>
  <c r="AG123" i="2"/>
  <c r="AD123" i="2"/>
  <c r="AI123" i="2"/>
  <c r="V123" i="2"/>
  <c r="AJ127" i="2"/>
  <c r="AE127" i="2"/>
  <c r="W127" i="2"/>
  <c r="AH129" i="2"/>
  <c r="AI129" i="2"/>
  <c r="AB129" i="2"/>
  <c r="AD135" i="2"/>
  <c r="AI135" i="2"/>
  <c r="V135" i="2"/>
  <c r="AG135" i="2"/>
  <c r="AH143" i="2"/>
  <c r="AB143" i="2"/>
  <c r="AJ147" i="2"/>
  <c r="AC147" i="2"/>
  <c r="AH151" i="2"/>
  <c r="AI151" i="2"/>
  <c r="AB151" i="2"/>
  <c r="AE169" i="2"/>
  <c r="W169" i="2"/>
  <c r="AE175" i="2"/>
  <c r="W175" i="2"/>
  <c r="AH177" i="2"/>
  <c r="AB177" i="2"/>
  <c r="AI191" i="2"/>
  <c r="AZ174" i="2"/>
  <c r="AD174" i="2"/>
  <c r="AF174" i="2"/>
  <c r="AI174" i="2"/>
  <c r="P174" i="2"/>
  <c r="AZ171" i="2"/>
  <c r="AF171" i="2"/>
  <c r="AI171" i="2"/>
  <c r="AD171" i="2"/>
  <c r="P171" i="2"/>
  <c r="AA21" i="1"/>
  <c r="AK173" i="2"/>
  <c r="AK172" i="2"/>
  <c r="AK177" i="2"/>
  <c r="AK176" i="2"/>
  <c r="AU176" i="2" s="1"/>
  <c r="AK171" i="2"/>
  <c r="AK175" i="2"/>
  <c r="AK178" i="2"/>
  <c r="AK170" i="2"/>
  <c r="AK174" i="2"/>
  <c r="AZ176" i="2"/>
  <c r="AF176" i="2"/>
  <c r="AD176" i="2"/>
  <c r="AI176" i="2"/>
  <c r="P176" i="2"/>
  <c r="AZ177" i="2"/>
  <c r="AF177" i="2"/>
  <c r="AD177" i="2"/>
  <c r="AI177" i="2"/>
  <c r="P177" i="2"/>
  <c r="AH195" i="2"/>
  <c r="AB195" i="2"/>
  <c r="AG162" i="2"/>
  <c r="V162" i="2"/>
  <c r="AH183" i="2"/>
  <c r="AJ164" i="2"/>
  <c r="AE164" i="2"/>
  <c r="Q164" i="2"/>
  <c r="AE161" i="2"/>
  <c r="Q161" i="2"/>
  <c r="AJ161" i="2"/>
  <c r="AJ169" i="2"/>
  <c r="Q169" i="2"/>
  <c r="AJ166" i="2"/>
  <c r="AE166" i="2"/>
  <c r="Q166" i="2"/>
  <c r="AJ167" i="2"/>
  <c r="Q167" i="2"/>
  <c r="AE167" i="2"/>
  <c r="AJ180" i="2"/>
  <c r="AE180" i="2"/>
  <c r="Q180" i="2"/>
  <c r="AJ188" i="2"/>
  <c r="AE188" i="2"/>
  <c r="AE185" i="2"/>
  <c r="AJ185" i="2"/>
  <c r="AJ182" i="2"/>
  <c r="AE182" i="2"/>
  <c r="AJ190" i="2"/>
  <c r="AE190" i="2"/>
  <c r="AJ183" i="2"/>
  <c r="AE183" i="2"/>
  <c r="AE191" i="2"/>
  <c r="AJ191" i="2"/>
  <c r="AH105" i="2"/>
  <c r="AI105" i="2"/>
  <c r="AI109" i="2"/>
  <c r="AB109" i="2"/>
  <c r="AD113" i="2"/>
  <c r="AG113" i="2"/>
  <c r="AI113" i="2"/>
  <c r="V113" i="2"/>
  <c r="AJ115" i="2"/>
  <c r="AC115" i="2"/>
  <c r="AH117" i="2"/>
  <c r="AB117" i="2"/>
  <c r="AJ125" i="2"/>
  <c r="AE125" i="2"/>
  <c r="W125" i="2"/>
  <c r="AH127" i="2"/>
  <c r="AB127" i="2"/>
  <c r="AJ137" i="2"/>
  <c r="AE137" i="2"/>
  <c r="W137" i="2"/>
  <c r="AJ139" i="2"/>
  <c r="AE139" i="2"/>
  <c r="W139" i="2"/>
  <c r="AE141" i="2"/>
  <c r="AJ141" i="2"/>
  <c r="W141" i="2"/>
  <c r="AE143" i="2"/>
  <c r="AJ143" i="2"/>
  <c r="W143" i="2"/>
  <c r="AI145" i="2"/>
  <c r="AH145" i="2"/>
  <c r="AB145" i="2"/>
  <c r="AH149" i="2"/>
  <c r="AI149" i="2"/>
  <c r="AB149" i="2"/>
  <c r="AI169" i="2"/>
  <c r="AB169" i="2"/>
  <c r="AH169" i="2"/>
  <c r="AH171" i="2"/>
  <c r="AB171" i="2"/>
  <c r="AH173" i="2"/>
  <c r="AB173" i="2"/>
  <c r="AI175" i="2"/>
  <c r="AH175" i="2"/>
  <c r="AB175" i="2"/>
  <c r="AH179" i="2"/>
  <c r="AB179" i="2"/>
  <c r="AE172" i="2"/>
  <c r="AJ172" i="2"/>
  <c r="Q172" i="2"/>
  <c r="AE173" i="2"/>
  <c r="AJ173" i="2"/>
  <c r="Q173" i="2"/>
  <c r="AE174" i="2"/>
  <c r="AJ174" i="2"/>
  <c r="Q174" i="2"/>
  <c r="AJ171" i="2"/>
  <c r="AE171" i="2"/>
  <c r="Q171" i="2"/>
  <c r="AG195" i="2"/>
  <c r="B28" i="19"/>
  <c r="B29" i="19" s="1"/>
  <c r="H28" i="19"/>
  <c r="H29" i="19" s="1"/>
  <c r="D28" i="19"/>
  <c r="D29" i="19" s="1"/>
  <c r="G28" i="19"/>
  <c r="G29" i="19" s="1"/>
  <c r="C28" i="19"/>
  <c r="C29" i="19" s="1"/>
  <c r="J28" i="19"/>
  <c r="J29" i="19" s="1"/>
  <c r="F28" i="19"/>
  <c r="F29" i="19" s="1"/>
  <c r="I28" i="19"/>
  <c r="I29" i="19" s="1"/>
  <c r="E28" i="19"/>
  <c r="E29" i="19" s="1"/>
  <c r="W183" i="2"/>
  <c r="Q98" i="2"/>
  <c r="W59" i="2"/>
  <c r="Q46" i="2"/>
  <c r="Q7" i="2"/>
  <c r="AC183" i="2"/>
  <c r="AC59" i="2"/>
  <c r="AC7" i="2"/>
  <c r="W98" i="2"/>
  <c r="Q85" i="2"/>
  <c r="W46" i="2"/>
  <c r="Q33" i="2"/>
  <c r="AC98" i="2"/>
  <c r="AC46" i="2"/>
  <c r="Q183" i="2"/>
  <c r="W85" i="2"/>
  <c r="Q72" i="2"/>
  <c r="W33" i="2"/>
  <c r="Q20" i="2"/>
  <c r="AC85" i="2"/>
  <c r="AC33" i="2"/>
  <c r="W72" i="2"/>
  <c r="Q59" i="2"/>
  <c r="W20" i="2"/>
  <c r="W7" i="2"/>
  <c r="AC72" i="2"/>
  <c r="AC20" i="2"/>
  <c r="AX192" i="2"/>
  <c r="BA192" i="2" s="1"/>
  <c r="BB192" i="2" s="1"/>
  <c r="AN192" i="2"/>
  <c r="AW192" i="2" s="1"/>
  <c r="AX196" i="2"/>
  <c r="BA196" i="2" s="1"/>
  <c r="BB196" i="2" s="1"/>
  <c r="AX145" i="2"/>
  <c r="BA145" i="2" s="1"/>
  <c r="BB145" i="2" s="1"/>
  <c r="AX194" i="2"/>
  <c r="BA194" i="2" s="1"/>
  <c r="BB194" i="2" s="1"/>
  <c r="AX198" i="2"/>
  <c r="BA198" i="2" s="1"/>
  <c r="BB198" i="2" s="1"/>
  <c r="AX147" i="2"/>
  <c r="BA147" i="2" s="1"/>
  <c r="BB147" i="2" s="1"/>
  <c r="AX197" i="2"/>
  <c r="BA197" i="2" s="1"/>
  <c r="BB197" i="2" s="1"/>
  <c r="AX144" i="2"/>
  <c r="BA144" i="2" s="1"/>
  <c r="BB144" i="2" s="1"/>
  <c r="V182" i="2"/>
  <c r="P182" i="2"/>
  <c r="V71" i="2"/>
  <c r="P58" i="2"/>
  <c r="V19" i="2"/>
  <c r="AB71" i="2"/>
  <c r="AB19" i="2"/>
  <c r="P97" i="2"/>
  <c r="V58" i="2"/>
  <c r="P45" i="2"/>
  <c r="AB182" i="2"/>
  <c r="AB58" i="2"/>
  <c r="AB6" i="2"/>
  <c r="V97" i="2"/>
  <c r="P84" i="2"/>
  <c r="V45" i="2"/>
  <c r="P32" i="2"/>
  <c r="V6" i="2"/>
  <c r="AB97" i="2"/>
  <c r="AB45" i="2"/>
  <c r="V84" i="2"/>
  <c r="P71" i="2"/>
  <c r="V32" i="2"/>
  <c r="P19" i="2"/>
  <c r="P6" i="2"/>
  <c r="AB84" i="2"/>
  <c r="AB32" i="2"/>
  <c r="W182" i="2"/>
  <c r="Q182" i="2"/>
  <c r="W71" i="2"/>
  <c r="Q58" i="2"/>
  <c r="W19" i="2"/>
  <c r="AC71" i="2"/>
  <c r="AC19" i="2"/>
  <c r="Q97" i="2"/>
  <c r="W58" i="2"/>
  <c r="Q45" i="2"/>
  <c r="AC182" i="2"/>
  <c r="AC58" i="2"/>
  <c r="AC6" i="2"/>
  <c r="W97" i="2"/>
  <c r="Q84" i="2"/>
  <c r="W45" i="2"/>
  <c r="Q32" i="2"/>
  <c r="W6" i="2"/>
  <c r="AC97" i="2"/>
  <c r="AC45" i="2"/>
  <c r="W84" i="2"/>
  <c r="Q71" i="2"/>
  <c r="W32" i="2"/>
  <c r="Q19" i="2"/>
  <c r="Q6" i="2"/>
  <c r="AC84" i="2"/>
  <c r="AC32" i="2"/>
  <c r="AX149" i="2"/>
  <c r="BA149" i="2" s="1"/>
  <c r="BB149" i="2" s="1"/>
  <c r="AX146" i="2"/>
  <c r="BA146" i="2" s="1"/>
  <c r="BB146" i="2" s="1"/>
  <c r="AX143" i="2"/>
  <c r="BA143" i="2" s="1"/>
  <c r="BB143" i="2" s="1"/>
  <c r="AX148" i="2"/>
  <c r="BA148" i="2" s="1"/>
  <c r="BB148" i="2" s="1"/>
  <c r="E39" i="12"/>
  <c r="E40" i="12"/>
  <c r="N10" i="12"/>
  <c r="AU169" i="2" s="1"/>
  <c r="AU168" i="2"/>
  <c r="N8" i="12"/>
  <c r="AU141" i="2"/>
  <c r="AX141" i="2" s="1"/>
  <c r="BA141" i="2" s="1"/>
  <c r="BB141" i="2" s="1"/>
  <c r="AU177" i="2"/>
  <c r="AU150" i="2"/>
  <c r="AX150" i="2" s="1"/>
  <c r="BA150" i="2" s="1"/>
  <c r="BB150" i="2" s="1"/>
  <c r="AU199" i="2"/>
  <c r="AX199" i="2" s="1"/>
  <c r="BA199" i="2" s="1"/>
  <c r="BB199" i="2" s="1"/>
  <c r="AU123" i="2"/>
  <c r="AX123" i="2" s="1"/>
  <c r="BA123" i="2" s="1"/>
  <c r="BB123" i="2" s="1"/>
  <c r="AU159" i="2"/>
  <c r="AX159" i="2" s="1"/>
  <c r="BA159" i="2" s="1"/>
  <c r="BB159" i="2" s="1"/>
  <c r="AU132" i="2"/>
  <c r="AX132" i="2" s="1"/>
  <c r="BA132" i="2" s="1"/>
  <c r="BB132" i="2" s="1"/>
  <c r="AU114" i="2"/>
  <c r="AX114" i="2" s="1"/>
  <c r="BA114" i="2" s="1"/>
  <c r="BB114" i="2" s="1"/>
  <c r="G37" i="12"/>
  <c r="G38" i="12" s="1"/>
  <c r="G28" i="12"/>
  <c r="H6" i="12"/>
  <c r="G19" i="12"/>
  <c r="AU174" i="2" l="1"/>
  <c r="AU171" i="2"/>
  <c r="AU173" i="2"/>
  <c r="AX189" i="2"/>
  <c r="BA189" i="2" s="1"/>
  <c r="BB189" i="2" s="1"/>
  <c r="AU189" i="2"/>
  <c r="AX183" i="2"/>
  <c r="BA183" i="2" s="1"/>
  <c r="BB183" i="2" s="1"/>
  <c r="AU183" i="2"/>
  <c r="AX180" i="2"/>
  <c r="BA180" i="2" s="1"/>
  <c r="BB180" i="2" s="1"/>
  <c r="AU180" i="2"/>
  <c r="AX190" i="2"/>
  <c r="BA190" i="2" s="1"/>
  <c r="BB190" i="2" s="1"/>
  <c r="AU190" i="2"/>
  <c r="AX187" i="2"/>
  <c r="BA187" i="2" s="1"/>
  <c r="BB187" i="2" s="1"/>
  <c r="AU187" i="2"/>
  <c r="AX184" i="2"/>
  <c r="BA184" i="2" s="1"/>
  <c r="BB184" i="2" s="1"/>
  <c r="AU184" i="2"/>
  <c r="AX191" i="2"/>
  <c r="BA191" i="2" s="1"/>
  <c r="BB191" i="2" s="1"/>
  <c r="AU191" i="2"/>
  <c r="AL168" i="2"/>
  <c r="AL165" i="2"/>
  <c r="AL163" i="2"/>
  <c r="AL164" i="2"/>
  <c r="AL162" i="2"/>
  <c r="AL169" i="2"/>
  <c r="AL166" i="2"/>
  <c r="AL167" i="2"/>
  <c r="AL161" i="2"/>
  <c r="AU170" i="2"/>
  <c r="AU175" i="2"/>
  <c r="AU172" i="2"/>
  <c r="AL177" i="2"/>
  <c r="AN177" i="2" s="1"/>
  <c r="AW177" i="2" s="1"/>
  <c r="AL176" i="2"/>
  <c r="AN176" i="2" s="1"/>
  <c r="AW176" i="2" s="1"/>
  <c r="AL175" i="2"/>
  <c r="AN175" i="2" s="1"/>
  <c r="AW175" i="2" s="1"/>
  <c r="AL178" i="2"/>
  <c r="AN178" i="2" s="1"/>
  <c r="AW178" i="2" s="1"/>
  <c r="AL170" i="2"/>
  <c r="AN170" i="2" s="1"/>
  <c r="AW170" i="2" s="1"/>
  <c r="AL173" i="2"/>
  <c r="AN173" i="2" s="1"/>
  <c r="AW173" i="2" s="1"/>
  <c r="AL172" i="2"/>
  <c r="AN172" i="2" s="1"/>
  <c r="AW172" i="2" s="1"/>
  <c r="AL171" i="2"/>
  <c r="AN171" i="2" s="1"/>
  <c r="AW171" i="2" s="1"/>
  <c r="AL174" i="2"/>
  <c r="AN174" i="2" s="1"/>
  <c r="AW174" i="2" s="1"/>
  <c r="AX186" i="2"/>
  <c r="BA186" i="2" s="1"/>
  <c r="BB186" i="2" s="1"/>
  <c r="AU186" i="2"/>
  <c r="AX188" i="2"/>
  <c r="BA188" i="2" s="1"/>
  <c r="BB188" i="2" s="1"/>
  <c r="AU188" i="2"/>
  <c r="AX185" i="2"/>
  <c r="BA185" i="2" s="1"/>
  <c r="BB185" i="2" s="1"/>
  <c r="AU185" i="2"/>
  <c r="AX182" i="2"/>
  <c r="BA182" i="2" s="1"/>
  <c r="BB182" i="2" s="1"/>
  <c r="AU182" i="2"/>
  <c r="AX179" i="2"/>
  <c r="BA179" i="2" s="1"/>
  <c r="BB179" i="2" s="1"/>
  <c r="AU179" i="2"/>
  <c r="AX181" i="2"/>
  <c r="BA181" i="2" s="1"/>
  <c r="BB181" i="2" s="1"/>
  <c r="AU181" i="2"/>
  <c r="V99" i="2"/>
  <c r="P86" i="2"/>
  <c r="V47" i="2"/>
  <c r="P34" i="2"/>
  <c r="V8" i="2"/>
  <c r="AB99" i="2"/>
  <c r="AB47" i="2"/>
  <c r="V86" i="2"/>
  <c r="P73" i="2"/>
  <c r="V34" i="2"/>
  <c r="P21" i="2"/>
  <c r="P8" i="2"/>
  <c r="AB86" i="2"/>
  <c r="AB34" i="2"/>
  <c r="V184" i="2"/>
  <c r="P184" i="2"/>
  <c r="V73" i="2"/>
  <c r="P60" i="2"/>
  <c r="V21" i="2"/>
  <c r="AB73" i="2"/>
  <c r="AB21" i="2"/>
  <c r="P99" i="2"/>
  <c r="V60" i="2"/>
  <c r="P47" i="2"/>
  <c r="AB184" i="2"/>
  <c r="AB60" i="2"/>
  <c r="AB8" i="2"/>
  <c r="W99" i="2"/>
  <c r="Q86" i="2"/>
  <c r="W47" i="2"/>
  <c r="Q34" i="2"/>
  <c r="W8" i="2"/>
  <c r="AC99" i="2"/>
  <c r="AC47" i="2"/>
  <c r="W86" i="2"/>
  <c r="Q73" i="2"/>
  <c r="W34" i="2"/>
  <c r="Q21" i="2"/>
  <c r="Q8" i="2"/>
  <c r="AC86" i="2"/>
  <c r="AC34" i="2"/>
  <c r="W184" i="2"/>
  <c r="Q184" i="2"/>
  <c r="W73" i="2"/>
  <c r="Q60" i="2"/>
  <c r="W21" i="2"/>
  <c r="AC73" i="2"/>
  <c r="AC21" i="2"/>
  <c r="Q99" i="2"/>
  <c r="W60" i="2"/>
  <c r="Q47" i="2"/>
  <c r="AC184" i="2"/>
  <c r="AC60" i="2"/>
  <c r="AC8" i="2"/>
  <c r="AU178" i="2"/>
  <c r="AX178" i="2" s="1"/>
  <c r="BA178" i="2" s="1"/>
  <c r="BB178" i="2" s="1"/>
  <c r="AU160" i="2"/>
  <c r="AX160" i="2" s="1"/>
  <c r="BA160" i="2" s="1"/>
  <c r="BB160" i="2" s="1"/>
  <c r="AU200" i="2"/>
  <c r="AX200" i="2" s="1"/>
  <c r="BA200" i="2" s="1"/>
  <c r="BB200" i="2" s="1"/>
  <c r="AU142" i="2"/>
  <c r="AX142" i="2" s="1"/>
  <c r="BA142" i="2" s="1"/>
  <c r="BB142" i="2" s="1"/>
  <c r="AU133" i="2"/>
  <c r="AX133" i="2" s="1"/>
  <c r="BA133" i="2" s="1"/>
  <c r="BB133" i="2" s="1"/>
  <c r="AU151" i="2"/>
  <c r="AX151" i="2" s="1"/>
  <c r="BA151" i="2" s="1"/>
  <c r="BB151" i="2" s="1"/>
  <c r="AU115" i="2"/>
  <c r="AX115" i="2" s="1"/>
  <c r="BA115" i="2" s="1"/>
  <c r="BB115" i="2" s="1"/>
  <c r="AU124" i="2"/>
  <c r="AX124" i="2" s="1"/>
  <c r="BA124" i="2" s="1"/>
  <c r="BB124" i="2" s="1"/>
  <c r="G40" i="12"/>
  <c r="G39" i="12"/>
  <c r="H28" i="12"/>
  <c r="H37" i="12"/>
  <c r="H38" i="12" s="1"/>
  <c r="I6" i="12"/>
  <c r="H19" i="12"/>
  <c r="AX172" i="2" l="1"/>
  <c r="BA172" i="2" s="1"/>
  <c r="BB172" i="2" s="1"/>
  <c r="AX176" i="2"/>
  <c r="BA176" i="2" s="1"/>
  <c r="BB176" i="2" s="1"/>
  <c r="AM161" i="2"/>
  <c r="AN161" i="2"/>
  <c r="AW161" i="2" s="1"/>
  <c r="AM166" i="2"/>
  <c r="AN166" i="2"/>
  <c r="AW166" i="2" s="1"/>
  <c r="AM162" i="2"/>
  <c r="AN162" i="2"/>
  <c r="AW162" i="2" s="1"/>
  <c r="AM163" i="2"/>
  <c r="AN163" i="2"/>
  <c r="AW163" i="2" s="1"/>
  <c r="AM168" i="2"/>
  <c r="AN168" i="2"/>
  <c r="AW168" i="2" s="1"/>
  <c r="AX173" i="2"/>
  <c r="BA173" i="2" s="1"/>
  <c r="BB173" i="2" s="1"/>
  <c r="AX171" i="2"/>
  <c r="BA171" i="2" s="1"/>
  <c r="BB171" i="2" s="1"/>
  <c r="AX174" i="2"/>
  <c r="BA174" i="2" s="1"/>
  <c r="BB174" i="2" s="1"/>
  <c r="AX175" i="2"/>
  <c r="BA175" i="2" s="1"/>
  <c r="BB175" i="2" s="1"/>
  <c r="AX170" i="2"/>
  <c r="BA170" i="2" s="1"/>
  <c r="BB170" i="2" s="1"/>
  <c r="AM167" i="2"/>
  <c r="AN167" i="2"/>
  <c r="AW167" i="2" s="1"/>
  <c r="AM169" i="2"/>
  <c r="AN169" i="2"/>
  <c r="AW169" i="2" s="1"/>
  <c r="AM164" i="2"/>
  <c r="AN164" i="2" s="1"/>
  <c r="AW164" i="2" s="1"/>
  <c r="AM165" i="2"/>
  <c r="AN165" i="2" s="1"/>
  <c r="AW165" i="2" s="1"/>
  <c r="AX177" i="2"/>
  <c r="BA177" i="2" s="1"/>
  <c r="BB177" i="2" s="1"/>
  <c r="P185" i="2"/>
  <c r="V87" i="2"/>
  <c r="P74" i="2"/>
  <c r="V35" i="2"/>
  <c r="P22" i="2"/>
  <c r="AB87" i="2"/>
  <c r="AB35" i="2"/>
  <c r="V74" i="2"/>
  <c r="P61" i="2"/>
  <c r="V22" i="2"/>
  <c r="V9" i="2"/>
  <c r="AB74" i="2"/>
  <c r="AB22" i="2"/>
  <c r="V185" i="2"/>
  <c r="P100" i="2"/>
  <c r="V61" i="2"/>
  <c r="P48" i="2"/>
  <c r="P9" i="2"/>
  <c r="AB185" i="2"/>
  <c r="AB61" i="2"/>
  <c r="AB9" i="2"/>
  <c r="V100" i="2"/>
  <c r="P87" i="2"/>
  <c r="V48" i="2"/>
  <c r="P35" i="2"/>
  <c r="AB100" i="2"/>
  <c r="AB48" i="2"/>
  <c r="Q185" i="2"/>
  <c r="W87" i="2"/>
  <c r="Q74" i="2"/>
  <c r="W35" i="2"/>
  <c r="Q22" i="2"/>
  <c r="AC87" i="2"/>
  <c r="AC35" i="2"/>
  <c r="W74" i="2"/>
  <c r="Q61" i="2"/>
  <c r="W22" i="2"/>
  <c r="W9" i="2"/>
  <c r="AC74" i="2"/>
  <c r="AC22" i="2"/>
  <c r="W185" i="2"/>
  <c r="Q100" i="2"/>
  <c r="W61" i="2"/>
  <c r="Q48" i="2"/>
  <c r="Q9" i="2"/>
  <c r="AC185" i="2"/>
  <c r="AC61" i="2"/>
  <c r="AC9" i="2"/>
  <c r="W100" i="2"/>
  <c r="Q87" i="2"/>
  <c r="W48" i="2"/>
  <c r="Q35" i="2"/>
  <c r="AC100" i="2"/>
  <c r="AC48" i="2"/>
  <c r="I37" i="12"/>
  <c r="I38" i="12" s="1"/>
  <c r="I28" i="12"/>
  <c r="J6" i="12"/>
  <c r="J19" i="12" s="1"/>
  <c r="I19" i="12"/>
  <c r="H40" i="12"/>
  <c r="H39" i="12"/>
  <c r="AQ168" i="2" l="1"/>
  <c r="AT168" i="2" s="1"/>
  <c r="AP168" i="2"/>
  <c r="AS168" i="2" s="1"/>
  <c r="AV168" i="2"/>
  <c r="AX168" i="2" s="1"/>
  <c r="BA168" i="2" s="1"/>
  <c r="BB168" i="2" s="1"/>
  <c r="AQ163" i="2"/>
  <c r="AT163" i="2" s="1"/>
  <c r="AP163" i="2"/>
  <c r="AS163" i="2" s="1"/>
  <c r="AV163" i="2"/>
  <c r="AX163" i="2" s="1"/>
  <c r="BA163" i="2" s="1"/>
  <c r="BB163" i="2" s="1"/>
  <c r="AQ162" i="2"/>
  <c r="AT162" i="2" s="1"/>
  <c r="AP162" i="2"/>
  <c r="AS162" i="2" s="1"/>
  <c r="AV162" i="2"/>
  <c r="AX162" i="2" s="1"/>
  <c r="BA162" i="2" s="1"/>
  <c r="BB162" i="2" s="1"/>
  <c r="AP166" i="2"/>
  <c r="AS166" i="2" s="1"/>
  <c r="AQ166" i="2"/>
  <c r="AT166" i="2" s="1"/>
  <c r="AV166" i="2"/>
  <c r="AX166" i="2" s="1"/>
  <c r="BA166" i="2" s="1"/>
  <c r="BB166" i="2" s="1"/>
  <c r="AV161" i="2"/>
  <c r="AX161" i="2" s="1"/>
  <c r="BA161" i="2" s="1"/>
  <c r="BB161" i="2" s="1"/>
  <c r="AQ161" i="2"/>
  <c r="AT161" i="2" s="1"/>
  <c r="AP161" i="2"/>
  <c r="AS161" i="2" s="1"/>
  <c r="AP165" i="2"/>
  <c r="AS165" i="2" s="1"/>
  <c r="AV165" i="2"/>
  <c r="AX165" i="2" s="1"/>
  <c r="BA165" i="2" s="1"/>
  <c r="BB165" i="2" s="1"/>
  <c r="AQ165" i="2"/>
  <c r="AT165" i="2" s="1"/>
  <c r="AP164" i="2"/>
  <c r="AS164" i="2" s="1"/>
  <c r="AQ164" i="2"/>
  <c r="AT164" i="2" s="1"/>
  <c r="AV164" i="2"/>
  <c r="AX164" i="2" s="1"/>
  <c r="BA164" i="2" s="1"/>
  <c r="BB164" i="2" s="1"/>
  <c r="AV169" i="2"/>
  <c r="AX169" i="2" s="1"/>
  <c r="BA169" i="2" s="1"/>
  <c r="BB169" i="2" s="1"/>
  <c r="AQ169" i="2"/>
  <c r="AT169" i="2" s="1"/>
  <c r="AP169" i="2"/>
  <c r="AS169" i="2" s="1"/>
  <c r="AQ167" i="2"/>
  <c r="AT167" i="2" s="1"/>
  <c r="AV167" i="2"/>
  <c r="AX167" i="2" s="1"/>
  <c r="BA167" i="2" s="1"/>
  <c r="BB167" i="2" s="1"/>
  <c r="AP167" i="2"/>
  <c r="AS167" i="2" s="1"/>
  <c r="V187" i="2"/>
  <c r="P102" i="2"/>
  <c r="V63" i="2"/>
  <c r="P50" i="2"/>
  <c r="P11" i="2"/>
  <c r="AB187" i="2"/>
  <c r="AB63" i="2"/>
  <c r="AB11" i="2"/>
  <c r="V102" i="2"/>
  <c r="P89" i="2"/>
  <c r="V50" i="2"/>
  <c r="P37" i="2"/>
  <c r="AB102" i="2"/>
  <c r="AB50" i="2"/>
  <c r="P187" i="2"/>
  <c r="V89" i="2"/>
  <c r="P76" i="2"/>
  <c r="V37" i="2"/>
  <c r="P24" i="2"/>
  <c r="AB89" i="2"/>
  <c r="AB37" i="2"/>
  <c r="V76" i="2"/>
  <c r="P63" i="2"/>
  <c r="V24" i="2"/>
  <c r="V11" i="2"/>
  <c r="AB76" i="2"/>
  <c r="AB24" i="2"/>
  <c r="V186" i="2"/>
  <c r="P186" i="2"/>
  <c r="V75" i="2"/>
  <c r="P62" i="2"/>
  <c r="V23" i="2"/>
  <c r="AB75" i="2"/>
  <c r="AB23" i="2"/>
  <c r="P101" i="2"/>
  <c r="V62" i="2"/>
  <c r="P49" i="2"/>
  <c r="AB186" i="2"/>
  <c r="AB62" i="2"/>
  <c r="AB10" i="2"/>
  <c r="V101" i="2"/>
  <c r="P88" i="2"/>
  <c r="V49" i="2"/>
  <c r="P36" i="2"/>
  <c r="V10" i="2"/>
  <c r="AB101" i="2"/>
  <c r="AB49" i="2"/>
  <c r="V88" i="2"/>
  <c r="P75" i="2"/>
  <c r="V36" i="2"/>
  <c r="P23" i="2"/>
  <c r="P10" i="2"/>
  <c r="AB88" i="2"/>
  <c r="AB36" i="2"/>
  <c r="W186" i="2"/>
  <c r="Q186" i="2"/>
  <c r="W75" i="2"/>
  <c r="Q62" i="2"/>
  <c r="W23" i="2"/>
  <c r="AC75" i="2"/>
  <c r="AC23" i="2"/>
  <c r="Q101" i="2"/>
  <c r="W62" i="2"/>
  <c r="Q49" i="2"/>
  <c r="AC186" i="2"/>
  <c r="AC62" i="2"/>
  <c r="AC10" i="2"/>
  <c r="W101" i="2"/>
  <c r="Q88" i="2"/>
  <c r="W49" i="2"/>
  <c r="Q36" i="2"/>
  <c r="W10" i="2"/>
  <c r="AC101" i="2"/>
  <c r="AC49" i="2"/>
  <c r="W88" i="2"/>
  <c r="Q75" i="2"/>
  <c r="W36" i="2"/>
  <c r="Q23" i="2"/>
  <c r="Q10" i="2"/>
  <c r="AC88" i="2"/>
  <c r="AC36" i="2"/>
  <c r="I39" i="12"/>
  <c r="I40" i="12"/>
  <c r="J28" i="12"/>
  <c r="J37" i="12"/>
  <c r="J38" i="12" s="1"/>
  <c r="K6" i="12"/>
  <c r="K19" i="12" s="1"/>
  <c r="V103" i="2" l="1"/>
  <c r="P90" i="2"/>
  <c r="V51" i="2"/>
  <c r="P38" i="2"/>
  <c r="V12" i="2"/>
  <c r="AB103" i="2"/>
  <c r="AB51" i="2"/>
  <c r="V90" i="2"/>
  <c r="P77" i="2"/>
  <c r="V38" i="2"/>
  <c r="P25" i="2"/>
  <c r="P12" i="2"/>
  <c r="AB90" i="2"/>
  <c r="AB38" i="2"/>
  <c r="V188" i="2"/>
  <c r="P188" i="2"/>
  <c r="V77" i="2"/>
  <c r="P64" i="2"/>
  <c r="V25" i="2"/>
  <c r="AB77" i="2"/>
  <c r="AB25" i="2"/>
  <c r="P103" i="2"/>
  <c r="V64" i="2"/>
  <c r="P51" i="2"/>
  <c r="AB188" i="2"/>
  <c r="AB64" i="2"/>
  <c r="AB12" i="2"/>
  <c r="W187" i="2"/>
  <c r="Q102" i="2"/>
  <c r="W63" i="2"/>
  <c r="Q50" i="2"/>
  <c r="Q11" i="2"/>
  <c r="AC187" i="2"/>
  <c r="AC63" i="2"/>
  <c r="AC11" i="2"/>
  <c r="W102" i="2"/>
  <c r="Q89" i="2"/>
  <c r="W50" i="2"/>
  <c r="Q37" i="2"/>
  <c r="AC102" i="2"/>
  <c r="AC50" i="2"/>
  <c r="Q187" i="2"/>
  <c r="W89" i="2"/>
  <c r="Q76" i="2"/>
  <c r="W37" i="2"/>
  <c r="Q24" i="2"/>
  <c r="AC89" i="2"/>
  <c r="AC37" i="2"/>
  <c r="W76" i="2"/>
  <c r="Q63" i="2"/>
  <c r="W24" i="2"/>
  <c r="W11" i="2"/>
  <c r="AC76" i="2"/>
  <c r="AC24" i="2"/>
  <c r="J39" i="12"/>
  <c r="J40" i="12"/>
  <c r="K28" i="12"/>
  <c r="L6" i="12"/>
  <c r="L19" i="12" s="1"/>
  <c r="K37" i="12"/>
  <c r="K38" i="12" s="1"/>
  <c r="P189" i="2" l="1"/>
  <c r="V91" i="2"/>
  <c r="P78" i="2"/>
  <c r="V39" i="2"/>
  <c r="P26" i="2"/>
  <c r="AB91" i="2"/>
  <c r="AB39" i="2"/>
  <c r="V78" i="2"/>
  <c r="P65" i="2"/>
  <c r="V26" i="2"/>
  <c r="V13" i="2"/>
  <c r="AB78" i="2"/>
  <c r="AB26" i="2"/>
  <c r="V189" i="2"/>
  <c r="P104" i="2"/>
  <c r="V65" i="2"/>
  <c r="P52" i="2"/>
  <c r="P13" i="2"/>
  <c r="AB189" i="2"/>
  <c r="AB65" i="2"/>
  <c r="AB13" i="2"/>
  <c r="V104" i="2"/>
  <c r="P91" i="2"/>
  <c r="V52" i="2"/>
  <c r="P39" i="2"/>
  <c r="AB104" i="2"/>
  <c r="AB52" i="2"/>
  <c r="W103" i="2"/>
  <c r="Q90" i="2"/>
  <c r="W51" i="2"/>
  <c r="Q38" i="2"/>
  <c r="W12" i="2"/>
  <c r="AC103" i="2"/>
  <c r="AC51" i="2"/>
  <c r="W90" i="2"/>
  <c r="Q77" i="2"/>
  <c r="W38" i="2"/>
  <c r="Q25" i="2"/>
  <c r="Q12" i="2"/>
  <c r="AC90" i="2"/>
  <c r="AC38" i="2"/>
  <c r="W188" i="2"/>
  <c r="Q188" i="2"/>
  <c r="W77" i="2"/>
  <c r="Q64" i="2"/>
  <c r="W25" i="2"/>
  <c r="AC77" i="2"/>
  <c r="AC25" i="2"/>
  <c r="Q103" i="2"/>
  <c r="W64" i="2"/>
  <c r="Q51" i="2"/>
  <c r="AC188" i="2"/>
  <c r="AC64" i="2"/>
  <c r="AC12" i="2"/>
  <c r="M6" i="12"/>
  <c r="L37" i="12"/>
  <c r="L38" i="12" s="1"/>
  <c r="L28" i="12"/>
  <c r="K40" i="12"/>
  <c r="K39" i="12"/>
  <c r="Q189" i="2" l="1"/>
  <c r="W91" i="2"/>
  <c r="Q78" i="2"/>
  <c r="W39" i="2"/>
  <c r="Q26" i="2"/>
  <c r="AC91" i="2"/>
  <c r="AC39" i="2"/>
  <c r="W78" i="2"/>
  <c r="Q65" i="2"/>
  <c r="W26" i="2"/>
  <c r="W13" i="2"/>
  <c r="AC78" i="2"/>
  <c r="AC26" i="2"/>
  <c r="W189" i="2"/>
  <c r="Q104" i="2"/>
  <c r="W65" i="2"/>
  <c r="Q52" i="2"/>
  <c r="Q13" i="2"/>
  <c r="AC189" i="2"/>
  <c r="AC65" i="2"/>
  <c r="AC13" i="2"/>
  <c r="W104" i="2"/>
  <c r="Q91" i="2"/>
  <c r="W52" i="2"/>
  <c r="Q39" i="2"/>
  <c r="AC104" i="2"/>
  <c r="AC52" i="2"/>
  <c r="M19" i="12"/>
  <c r="N6" i="12"/>
  <c r="L40" i="12"/>
  <c r="L39" i="12"/>
  <c r="M28" i="12"/>
  <c r="M37" i="12"/>
  <c r="M38" i="12" s="1"/>
  <c r="W190" i="2" l="1"/>
  <c r="Q190" i="2"/>
  <c r="W79" i="2"/>
  <c r="Q66" i="2"/>
  <c r="W27" i="2"/>
  <c r="AC79" i="2"/>
  <c r="AC27" i="2"/>
  <c r="Q105" i="2"/>
  <c r="W66" i="2"/>
  <c r="Q53" i="2"/>
  <c r="AC190" i="2"/>
  <c r="AC66" i="2"/>
  <c r="AC14" i="2"/>
  <c r="W105" i="2"/>
  <c r="Q92" i="2"/>
  <c r="W53" i="2"/>
  <c r="Q40" i="2"/>
  <c r="W14" i="2"/>
  <c r="AC105" i="2"/>
  <c r="AC53" i="2"/>
  <c r="W92" i="2"/>
  <c r="Q79" i="2"/>
  <c r="W40" i="2"/>
  <c r="Q27" i="2"/>
  <c r="Q14" i="2"/>
  <c r="AC92" i="2"/>
  <c r="AC40" i="2"/>
  <c r="V190" i="2"/>
  <c r="P190" i="2"/>
  <c r="V79" i="2"/>
  <c r="P66" i="2"/>
  <c r="V27" i="2"/>
  <c r="AB79" i="2"/>
  <c r="AB27" i="2"/>
  <c r="P105" i="2"/>
  <c r="V66" i="2"/>
  <c r="P53" i="2"/>
  <c r="AB190" i="2"/>
  <c r="AB66" i="2"/>
  <c r="AB14" i="2"/>
  <c r="V105" i="2"/>
  <c r="P92" i="2"/>
  <c r="V53" i="2"/>
  <c r="P40" i="2"/>
  <c r="V14" i="2"/>
  <c r="AB105" i="2"/>
  <c r="AB53" i="2"/>
  <c r="V92" i="2"/>
  <c r="P79" i="2"/>
  <c r="V40" i="2"/>
  <c r="P27" i="2"/>
  <c r="P14" i="2"/>
  <c r="AB92" i="2"/>
  <c r="AB40" i="2"/>
  <c r="N19" i="12"/>
  <c r="N37" i="12"/>
  <c r="N38" i="12" s="1"/>
  <c r="N28" i="12"/>
  <c r="M39" i="12"/>
  <c r="M40" i="12"/>
  <c r="W191" i="2" l="1"/>
  <c r="Q106" i="2"/>
  <c r="W67" i="2"/>
  <c r="Q54" i="2"/>
  <c r="Q15" i="2"/>
  <c r="AC191" i="2"/>
  <c r="AC67" i="2"/>
  <c r="AC15" i="2"/>
  <c r="W106" i="2"/>
  <c r="Q93" i="2"/>
  <c r="W54" i="2"/>
  <c r="Q41" i="2"/>
  <c r="AC106" i="2"/>
  <c r="AC54" i="2"/>
  <c r="Q191" i="2"/>
  <c r="W93" i="2"/>
  <c r="Q80" i="2"/>
  <c r="W41" i="2"/>
  <c r="Q28" i="2"/>
  <c r="AC93" i="2"/>
  <c r="AC41" i="2"/>
  <c r="W80" i="2"/>
  <c r="Q67" i="2"/>
  <c r="W28" i="2"/>
  <c r="W15" i="2"/>
  <c r="AC80" i="2"/>
  <c r="AC28" i="2"/>
  <c r="V191" i="2"/>
  <c r="P106" i="2"/>
  <c r="V67" i="2"/>
  <c r="P54" i="2"/>
  <c r="P15" i="2"/>
  <c r="AB191" i="2"/>
  <c r="AB67" i="2"/>
  <c r="AB15" i="2"/>
  <c r="V106" i="2"/>
  <c r="P93" i="2"/>
  <c r="V54" i="2"/>
  <c r="P41" i="2"/>
  <c r="AB106" i="2"/>
  <c r="AB54" i="2"/>
  <c r="P191" i="2"/>
  <c r="V93" i="2"/>
  <c r="P80" i="2"/>
  <c r="V41" i="2"/>
  <c r="P28" i="2"/>
  <c r="AB93" i="2"/>
  <c r="AB41" i="2"/>
  <c r="V80" i="2"/>
  <c r="P67" i="2"/>
  <c r="V28" i="2"/>
  <c r="V15" i="2"/>
  <c r="AB80" i="2"/>
  <c r="AB28" i="2"/>
  <c r="N39" i="12"/>
  <c r="N40" i="12"/>
</calcChain>
</file>

<file path=xl/sharedStrings.xml><?xml version="1.0" encoding="utf-8"?>
<sst xmlns="http://schemas.openxmlformats.org/spreadsheetml/2006/main" count="1116" uniqueCount="262">
  <si>
    <t>Marché / Client</t>
  </si>
  <si>
    <t>Finalité</t>
  </si>
  <si>
    <t>DP UKAD
(t)</t>
  </si>
  <si>
    <t>Lingot
(t)</t>
  </si>
  <si>
    <t>Volume Copeaux UKAD
(t)</t>
  </si>
  <si>
    <t>Tarification Chutes UKAD</t>
  </si>
  <si>
    <t>Volume Massifs UKAD
(t)</t>
  </si>
  <si>
    <t>Volume Massifs AD
(t)</t>
  </si>
  <si>
    <t>Tarification Chutes AD</t>
  </si>
  <si>
    <t>Volume Copeaux AD
(t)</t>
  </si>
  <si>
    <t>Volume Massifs Client
(t)</t>
  </si>
  <si>
    <t>Volume Copeaux Client
(t)</t>
  </si>
  <si>
    <t>Tarification Chutes Client</t>
  </si>
  <si>
    <t>UKAD</t>
  </si>
  <si>
    <t>AD</t>
  </si>
  <si>
    <t>Client</t>
  </si>
  <si>
    <t>UKTMP</t>
  </si>
  <si>
    <t>Identifiant</t>
  </si>
  <si>
    <t>Volume (pds) Référence
(t)</t>
  </si>
  <si>
    <t>DF</t>
  </si>
  <si>
    <t>Nb</t>
  </si>
  <si>
    <t>PMO</t>
  </si>
  <si>
    <t>Mat</t>
  </si>
  <si>
    <t>PF</t>
  </si>
  <si>
    <t>Massif</t>
  </si>
  <si>
    <t>Copeaux</t>
  </si>
  <si>
    <t>Cadence</t>
  </si>
  <si>
    <t>Grade</t>
  </si>
  <si>
    <t>Contrat Airbus pour AD</t>
  </si>
  <si>
    <t>UKAD mise au mille</t>
  </si>
  <si>
    <t>Source d'info</t>
  </si>
  <si>
    <t>Datas</t>
  </si>
  <si>
    <t>Pascal Chovet</t>
  </si>
  <si>
    <t>Mise au mille UKAD PLT, incluant une part rebut:
,20 de perte au feu
0,25 de massifs
0,55 de copeaux</t>
  </si>
  <si>
    <t>Mise à Un
DP=&gt; Lingot</t>
  </si>
  <si>
    <t>Pièces Structures Airbus</t>
  </si>
  <si>
    <t>Pamiers LF / OD</t>
  </si>
  <si>
    <t>Boeing</t>
  </si>
  <si>
    <t>Motoristes Pièces</t>
  </si>
  <si>
    <t>Médical</t>
  </si>
  <si>
    <t>Source Lingot</t>
  </si>
  <si>
    <t>N° ordre</t>
  </si>
  <si>
    <t>01</t>
  </si>
  <si>
    <t>02</t>
  </si>
  <si>
    <t>03</t>
  </si>
  <si>
    <t>04</t>
  </si>
  <si>
    <t>05</t>
  </si>
  <si>
    <t>06</t>
  </si>
  <si>
    <t>07</t>
  </si>
  <si>
    <t>08</t>
  </si>
  <si>
    <t>CP</t>
  </si>
  <si>
    <t>Année</t>
  </si>
  <si>
    <t xml:space="preserve">Structure Boeing </t>
  </si>
  <si>
    <t>YC R sur les volumes</t>
  </si>
  <si>
    <t>idem structures Airbus</t>
  </si>
  <si>
    <t>Structure Autres</t>
  </si>
  <si>
    <t>idem</t>
  </si>
  <si>
    <t>Structure Airbus hors AD</t>
  </si>
  <si>
    <t>On a calé 100% sur Dynamet en carrés meulés, donc pas de copeaux et mam plus faible
les massifs : 40% de la mam</t>
  </si>
  <si>
    <t>Motoristes pièces</t>
  </si>
  <si>
    <t>Même mam que structure</t>
  </si>
  <si>
    <t>motoristes Barres à Aubes</t>
  </si>
  <si>
    <t>Mise au mille 1,411, correspondant à des gammes barres
massifs: 0,118* pds vendu
copeaux : 0,185 du pds vendu</t>
  </si>
  <si>
    <t>mam idem barres à aubes</t>
  </si>
  <si>
    <t>idem structures</t>
  </si>
  <si>
    <t>Volume
(pds)</t>
  </si>
  <si>
    <t>(Tous)</t>
  </si>
  <si>
    <t>Airbus pour AD</t>
  </si>
  <si>
    <t>Airbus hors AD</t>
  </si>
  <si>
    <t>EcoTi</t>
  </si>
  <si>
    <t>Autres Avionneurs</t>
  </si>
  <si>
    <t>Motoristes Aubes</t>
  </si>
  <si>
    <t>Fasteners</t>
  </si>
  <si>
    <t>Origine Lingot</t>
  </si>
  <si>
    <t>Airbus DoorFrame</t>
  </si>
  <si>
    <t>Marché</t>
  </si>
  <si>
    <t>C Daffos / L Foucher</t>
  </si>
  <si>
    <t>idem structure pour demi-produits, mise au mille Pamiers et client caléé sur infos Pamiers</t>
  </si>
  <si>
    <t>idem Structure Airbus + Economie Circulaire</t>
  </si>
  <si>
    <t>Calé sur DP UKAD et Mam Pamiers ligne Moteur</t>
  </si>
  <si>
    <t>Calé sur données barres</t>
  </si>
  <si>
    <t>Hypothèse de prise de marché grâce au projet interne de DP
Intégration du modèle Ph G., UKAD limité au D.P., solde gamme AD</t>
  </si>
  <si>
    <t>TA6V Corrosion</t>
  </si>
  <si>
    <t>DP Militaire</t>
  </si>
  <si>
    <t>Somme de DP UKAD
(t)</t>
  </si>
  <si>
    <t>Corrosion Cp</t>
  </si>
  <si>
    <t xml:space="preserve">Stainless source UKTMP </t>
  </si>
  <si>
    <t>Stainless source EcoTi</t>
  </si>
  <si>
    <t>Structure Boeing source UKTMP</t>
  </si>
  <si>
    <t>Autres Structures source UKTMP</t>
  </si>
  <si>
    <t>Motoristes Pièces source UKTMP</t>
  </si>
  <si>
    <t>Motoristes Aubes source UKTMP</t>
  </si>
  <si>
    <t>Structure hors Airbus source EcoTi</t>
  </si>
  <si>
    <t>Motoristes Aubes source EcoTi</t>
  </si>
  <si>
    <t>Fasteners Internes source EcoTI</t>
  </si>
  <si>
    <t>Corrosion TA6V source EcoTi</t>
  </si>
  <si>
    <t>Défense source EcoTi</t>
  </si>
  <si>
    <t>Airbus via EcoTi (DoorFrames)</t>
  </si>
  <si>
    <t>09</t>
  </si>
  <si>
    <t>Contrat Airbus Structure hors AD</t>
  </si>
  <si>
    <t>Contrat Airbus Fasteners hors AD</t>
  </si>
  <si>
    <t>PLT Aval Concerné</t>
  </si>
  <si>
    <t>Structure</t>
  </si>
  <si>
    <t>Aval UKAD</t>
  </si>
  <si>
    <t>Moteurs</t>
  </si>
  <si>
    <t>PLT</t>
  </si>
  <si>
    <t>Mam</t>
  </si>
  <si>
    <t>Données</t>
  </si>
  <si>
    <t>Total Copeaux</t>
  </si>
  <si>
    <t>Somme de Total Copeaux</t>
  </si>
  <si>
    <t>Total Massif 
UKAD + AD</t>
  </si>
  <si>
    <t>Total Copeaux
UKAD + AD</t>
  </si>
  <si>
    <t>Chutes UKAD</t>
  </si>
  <si>
    <t>Chutes AD</t>
  </si>
  <si>
    <t>Chutes Clients</t>
  </si>
  <si>
    <t>Taux de récupération</t>
  </si>
  <si>
    <t>Massifs</t>
  </si>
  <si>
    <t>AD ANC</t>
  </si>
  <si>
    <t>AD PAMIERS</t>
  </si>
  <si>
    <t>Chutes récupérables</t>
  </si>
  <si>
    <t>Branche Alliages</t>
  </si>
  <si>
    <t>SO</t>
  </si>
  <si>
    <t>BA pour UKAD</t>
  </si>
  <si>
    <t>Code Récupération</t>
  </si>
  <si>
    <t xml:space="preserve">Chutes Récupérées </t>
  </si>
  <si>
    <t>Copeaux
(t)</t>
  </si>
  <si>
    <t>Massifs
(t)</t>
  </si>
  <si>
    <t>AD BA</t>
  </si>
  <si>
    <t>Conversion Chute en lingot</t>
  </si>
  <si>
    <t>Massifs
1 kg chutes =&gt; x kg lingot recyclé</t>
  </si>
  <si>
    <t>Copeaux
1 kg chutes =&gt; x kg lingot recyclé</t>
  </si>
  <si>
    <t>Non Refondu</t>
  </si>
  <si>
    <t>VAR</t>
  </si>
  <si>
    <t>Type Lingot Recyclé</t>
  </si>
  <si>
    <t>Motoristes Pièces source EcoTi Simple Melt</t>
  </si>
  <si>
    <t>Motoristes Pièces source EcoTi Double Melt</t>
  </si>
  <si>
    <t>2xVAR</t>
  </si>
  <si>
    <t>2xVar</t>
  </si>
  <si>
    <t>Potentiel Lingot issu recyclage
(t)</t>
  </si>
  <si>
    <t>Besoin Complémentaire Lingots
(t)</t>
  </si>
  <si>
    <t>Massif 13% du pmo, copeaux 3,6 % du PMO, on a supposé un ratio Pièce Matricée/ DP de 0,78
Ratio Buy to Fluy client de 6.</t>
  </si>
  <si>
    <t>Total général</t>
  </si>
  <si>
    <t>Circ 1</t>
  </si>
  <si>
    <t>Marché 1</t>
  </si>
  <si>
    <t>Evol Px Vente Marché</t>
  </si>
  <si>
    <t>K Massif / Lingot</t>
  </si>
  <si>
    <t>Lingot
$/kg</t>
  </si>
  <si>
    <t>Massif
$/kg</t>
  </si>
  <si>
    <t>Circ 2</t>
  </si>
  <si>
    <t>Evol PX Vente Circ 2</t>
  </si>
  <si>
    <t>Evol PX Vente Circ 1</t>
  </si>
  <si>
    <t>Copeaux
$/kg</t>
  </si>
  <si>
    <t>K Copeaux/ Lingot</t>
  </si>
  <si>
    <t>Ferro-titane
$/kg</t>
  </si>
  <si>
    <t>K FerroTi / Lingot</t>
  </si>
  <si>
    <t>Code Recupération BA</t>
  </si>
  <si>
    <t>Code Récupération Client</t>
  </si>
  <si>
    <t>Potentiel Lingot issu du recyclage
(t)</t>
  </si>
  <si>
    <t>Besoin Complémentaire Lingot
(t)</t>
  </si>
  <si>
    <t>Evol Prix Corrosion</t>
  </si>
  <si>
    <t>Corrosion</t>
  </si>
  <si>
    <t>Codification Prix Lingots</t>
  </si>
  <si>
    <t>Somme de Potentiel Lingot issu du recyclage
(t)</t>
  </si>
  <si>
    <t>Somme de Besoin Complémentaire Lingot
(t)</t>
  </si>
  <si>
    <t>Total Somme de Potentiel Lingot issu du recyclage
(t)</t>
  </si>
  <si>
    <t>Total Somme de Besoin Complémentaire Lingot
(t)</t>
  </si>
  <si>
    <t>Somme de Volume
(pds)</t>
  </si>
  <si>
    <t>Total Massif</t>
  </si>
  <si>
    <t>Somme de Volume Massifs UKAD
(t)</t>
  </si>
  <si>
    <t>Somme de Volume Copeaux UKAD
(t)</t>
  </si>
  <si>
    <t>Somme de Volume Massifs AD
(t)</t>
  </si>
  <si>
    <t>Somme de Volume Copeaux AD
(t)</t>
  </si>
  <si>
    <t>Somme de Volume Massifs Client
(t)</t>
  </si>
  <si>
    <t>Somme de Volume Copeaux Client
(t)</t>
  </si>
  <si>
    <t>Somme de Total Massif</t>
  </si>
  <si>
    <t>(Plusieurs éléments)</t>
  </si>
  <si>
    <t>Potentiel Lingot issu des chutes UKAD
(t)</t>
  </si>
  <si>
    <t>Somme de Potentiel Lingot issu des chutes UKAD
(t)</t>
  </si>
  <si>
    <t>Corr Pot Lingot EcoTI</t>
  </si>
  <si>
    <t>Pot Lingot 6-4 UKAD / UKTMP</t>
  </si>
  <si>
    <t>Somme Px Circ1</t>
  </si>
  <si>
    <t>Complément Lingot Px de Marché</t>
  </si>
  <si>
    <t>Pxx Circ1</t>
  </si>
  <si>
    <t>Px Marché</t>
  </si>
  <si>
    <t>Px Global Lingot Corrosion</t>
  </si>
  <si>
    <t>Besoin Lingots Corrosions</t>
  </si>
  <si>
    <t>Type Lingot Consommé</t>
  </si>
  <si>
    <t>Prix de Vente Lingot Ecoti ($/kg)</t>
  </si>
  <si>
    <t>Devis Lingot Eco Circulaire
k$</t>
  </si>
  <si>
    <t>Px et t</t>
  </si>
  <si>
    <t>EcoTi-07</t>
  </si>
  <si>
    <t>to massif</t>
  </si>
  <si>
    <t>ac massif</t>
  </si>
  <si>
    <t>to copeaux</t>
  </si>
  <si>
    <t>ac copeaux</t>
  </si>
  <si>
    <t>to lingot</t>
  </si>
  <si>
    <t>px lingot</t>
  </si>
  <si>
    <t>Code</t>
  </si>
  <si>
    <t>EcoTi-99</t>
  </si>
  <si>
    <t>Complément Lingot au Px Marché (t)</t>
  </si>
  <si>
    <t>Devis Lingot Source Négoce k$</t>
  </si>
  <si>
    <t>Attention :</t>
  </si>
  <si>
    <t>Marché est un lingot type TA6V 2VAR ou 2 melts</t>
  </si>
  <si>
    <t>Devis Lingot
Complémentaire PX Marché 1
k$</t>
  </si>
  <si>
    <t>Devis Prix de Lingot Théorique ($/kg)</t>
  </si>
  <si>
    <t>Lingot (t)</t>
  </si>
  <si>
    <t>Somme de Lingot (t)</t>
  </si>
  <si>
    <t>Somme de Devis Prix de Lingot Théorique ($/kg)</t>
  </si>
  <si>
    <t>Somme de Prix de Vente Lingot Ecoti ($/kg)</t>
  </si>
  <si>
    <t>Px Massifs UKAD k$</t>
  </si>
  <si>
    <t>Px Copeaux UKAD k$</t>
  </si>
  <si>
    <t>Px Massifs AD k$</t>
  </si>
  <si>
    <t>Px Copeaux AD k$</t>
  </si>
  <si>
    <t>Px Massifs Client k$</t>
  </si>
  <si>
    <t>Px Copeaux Client k$</t>
  </si>
  <si>
    <t>Volume Massif Négoce (t)</t>
  </si>
  <si>
    <t>Volume Copeaux Négoce (t)</t>
  </si>
  <si>
    <t>Px Massifs Négoce k$</t>
  </si>
  <si>
    <t>Px Copeaux Négoce k$</t>
  </si>
  <si>
    <t>Volume Lingot Potentiel Négoce (t)</t>
  </si>
  <si>
    <t>Lingot source Négoce Utilisé (t)</t>
  </si>
  <si>
    <t>Somme de Volume Massif Négoce (t)</t>
  </si>
  <si>
    <t>Somme de Px Massifs UKAD k$</t>
  </si>
  <si>
    <t>Somme de Px Massifs AD k$</t>
  </si>
  <si>
    <t>Somme de Px Massifs Client k$</t>
  </si>
  <si>
    <t>Somme de Px Massifs Négoce k$</t>
  </si>
  <si>
    <t>Somme de Volume Copeaux Négoce (t)</t>
  </si>
  <si>
    <t>Somme de Px Copeaux UKAD k$</t>
  </si>
  <si>
    <t>Somme de Px Copeaux AD k$</t>
  </si>
  <si>
    <t>Somme de Px Copeaux Client k$</t>
  </si>
  <si>
    <t>Somme de Px Copeaux Négoce k$</t>
  </si>
  <si>
    <t>CA Lingot EcoTi (k$)</t>
  </si>
  <si>
    <t>Somme de CA Lingot EcoTi (k$)</t>
  </si>
  <si>
    <t>CA Lingots Ecoti (k$)</t>
  </si>
  <si>
    <t>Lingots (t)</t>
  </si>
  <si>
    <t>Demi-Produits UKAD (t)</t>
  </si>
  <si>
    <t>Massifs avant Négoce (t)</t>
  </si>
  <si>
    <t>Massifs Négoce (t)</t>
  </si>
  <si>
    <t>Massifs Economie Circulaire (t)</t>
  </si>
  <si>
    <t>Copeaux avant Négoce (t)</t>
  </si>
  <si>
    <t>Copeaux Négoce (t)</t>
  </si>
  <si>
    <t>Copeaux Economie Circulaire (t)</t>
  </si>
  <si>
    <t>Somme de Lingot source Négoce Utilisé (t)</t>
  </si>
  <si>
    <t>Somme de Volume Lingot Potentiel Négoce (t)</t>
  </si>
  <si>
    <t>Lingots issus du recyclage interne (t)</t>
  </si>
  <si>
    <t>Lingots issus du négoce utilisées (t)</t>
  </si>
  <si>
    <t>Potentiel Lingots issus du négoce non utilisés (t)</t>
  </si>
  <si>
    <t>Lingots à élaborer avec des chutes marché (t)</t>
  </si>
  <si>
    <t>Ratio Massif /Chutes</t>
  </si>
  <si>
    <t>Besoin Copeaux (t)</t>
  </si>
  <si>
    <t>Besoin Massifs (t)</t>
  </si>
  <si>
    <t>Massifs avant Négoce (k$)</t>
  </si>
  <si>
    <t>Massifs Négoce (k$)</t>
  </si>
  <si>
    <t>Massifs Economie Circulaire (k$)</t>
  </si>
  <si>
    <t>Copeaux avant Négoce (k$)</t>
  </si>
  <si>
    <t>Copeaux Négoce (k$)</t>
  </si>
  <si>
    <t>Copeaux Economie Circulaire (k$)</t>
  </si>
  <si>
    <t>Massifs Marché (k$)</t>
  </si>
  <si>
    <t>Copeaux Marché (k$)</t>
  </si>
  <si>
    <t>Total Chutes Economie Circulaire (k$)</t>
  </si>
  <si>
    <t>Total Achat Chutes Marché (k$)</t>
  </si>
  <si>
    <t>Total Achat Chutes (k$)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</si>
</sst>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3" fontId="3" fillId="0" borderId="0" xfId="1" applyFont="1"/>
    <xf numFmtId="0" fontId="0" fillId="0" borderId="0" xfId="0" quotePrefix="1"/>
    <xf numFmtId="11" fontId="0" fillId="0" borderId="0" xfId="0" applyNumberFormat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3" fontId="0" fillId="0" borderId="1" xfId="0" applyNumberFormat="1" applyBorder="1"/>
    <xf numFmtId="3" fontId="0" fillId="0" borderId="4" xfId="0" applyNumberFormat="1" applyBorder="1"/>
    <xf numFmtId="3" fontId="0" fillId="0" borderId="5" xfId="0" applyNumberFormat="1" applyBorder="1"/>
    <xf numFmtId="0" fontId="0" fillId="0" borderId="6" xfId="0" applyBorder="1"/>
    <xf numFmtId="3" fontId="0" fillId="0" borderId="6" xfId="0" applyNumberFormat="1" applyBorder="1"/>
    <xf numFmtId="3" fontId="0" fillId="0" borderId="0" xfId="0" applyNumberFormat="1"/>
    <xf numFmtId="3" fontId="0" fillId="0" borderId="7" xfId="0" applyNumberFormat="1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0" xfId="0" pivotButton="1" applyBorder="1"/>
    <xf numFmtId="0" fontId="0" fillId="0" borderId="10" xfId="0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9" fontId="3" fillId="0" borderId="0" xfId="2" applyFont="1" applyBorder="1"/>
    <xf numFmtId="9" fontId="3" fillId="0" borderId="18" xfId="2" applyFont="1" applyBorder="1"/>
    <xf numFmtId="0" fontId="0" fillId="0" borderId="19" xfId="0" applyBorder="1"/>
    <xf numFmtId="9" fontId="3" fillId="0" borderId="20" xfId="2" applyFont="1" applyBorder="1"/>
    <xf numFmtId="9" fontId="3" fillId="0" borderId="21" xfId="2" applyFont="1" applyBorder="1"/>
    <xf numFmtId="0" fontId="5" fillId="0" borderId="0" xfId="0" applyFont="1" applyAlignment="1">
      <alignment wrapText="1"/>
    </xf>
    <xf numFmtId="0" fontId="0" fillId="0" borderId="22" xfId="0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0" xfId="0" applyNumberFormat="1"/>
    <xf numFmtId="0" fontId="0" fillId="0" borderId="7" xfId="0" applyNumberFormat="1" applyBorder="1"/>
    <xf numFmtId="0" fontId="0" fillId="0" borderId="2" xfId="0" pivotButton="1" applyBorder="1"/>
    <xf numFmtId="0" fontId="0" fillId="0" borderId="23" xfId="0" applyBorder="1"/>
    <xf numFmtId="0" fontId="0" fillId="0" borderId="10" xfId="0" applyBorder="1" applyAlignment="1">
      <alignment horizontal="left"/>
    </xf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165" fontId="0" fillId="0" borderId="1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0" xfId="0" applyNumberFormat="1"/>
    <xf numFmtId="165" fontId="0" fillId="0" borderId="7" xfId="0" applyNumberFormat="1" applyBorder="1"/>
    <xf numFmtId="165" fontId="0" fillId="0" borderId="0" xfId="1" applyNumberFormat="1" applyFont="1"/>
    <xf numFmtId="3" fontId="0" fillId="0" borderId="0" xfId="0" applyNumberFormat="1" applyFill="1" applyBorder="1"/>
    <xf numFmtId="165" fontId="0" fillId="0" borderId="8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0" fontId="0" fillId="4" borderId="0" xfId="0" applyFill="1"/>
    <xf numFmtId="2" fontId="0" fillId="0" borderId="0" xfId="0" applyNumberFormat="1"/>
    <xf numFmtId="1" fontId="0" fillId="0" borderId="0" xfId="0" applyNumberFormat="1"/>
    <xf numFmtId="1" fontId="0" fillId="4" borderId="0" xfId="0" applyNumberFormat="1" applyFill="1"/>
    <xf numFmtId="0" fontId="0" fillId="5" borderId="0" xfId="0" applyFill="1"/>
    <xf numFmtId="2" fontId="0" fillId="4" borderId="0" xfId="0" applyNumberFormat="1" applyFill="1"/>
    <xf numFmtId="0" fontId="4" fillId="0" borderId="0" xfId="0" applyFont="1"/>
    <xf numFmtId="2" fontId="0" fillId="0" borderId="1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1" fontId="0" fillId="0" borderId="1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13" xfId="0" applyNumberFormat="1" applyBorder="1"/>
    <xf numFmtId="165" fontId="5" fillId="0" borderId="15" xfId="1" applyNumberFormat="1" applyFont="1" applyBorder="1"/>
    <xf numFmtId="165" fontId="5" fillId="0" borderId="16" xfId="1" applyNumberFormat="1" applyFont="1" applyBorder="1"/>
    <xf numFmtId="165" fontId="5" fillId="0" borderId="0" xfId="1" applyNumberFormat="1" applyFont="1" applyBorder="1"/>
    <xf numFmtId="165" fontId="5" fillId="0" borderId="18" xfId="1" applyNumberFormat="1" applyFont="1" applyBorder="1"/>
    <xf numFmtId="165" fontId="0" fillId="0" borderId="20" xfId="1" applyNumberFormat="1" applyFont="1" applyBorder="1"/>
    <xf numFmtId="165" fontId="0" fillId="0" borderId="21" xfId="1" applyNumberFormat="1" applyFont="1" applyBorder="1"/>
    <xf numFmtId="165" fontId="0" fillId="0" borderId="15" xfId="1" applyNumberFormat="1" applyFont="1" applyBorder="1"/>
    <xf numFmtId="165" fontId="0" fillId="0" borderId="16" xfId="1" applyNumberFormat="1" applyFont="1" applyBorder="1"/>
    <xf numFmtId="165" fontId="0" fillId="0" borderId="0" xfId="1" applyNumberFormat="1" applyFont="1" applyBorder="1"/>
    <xf numFmtId="165" fontId="0" fillId="0" borderId="18" xfId="1" applyNumberFormat="1" applyFont="1" applyBorder="1"/>
    <xf numFmtId="165" fontId="5" fillId="0" borderId="0" xfId="0" applyNumberFormat="1" applyFont="1" applyBorder="1"/>
    <xf numFmtId="165" fontId="5" fillId="0" borderId="18" xfId="0" applyNumberFormat="1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165" fontId="0" fillId="0" borderId="20" xfId="0" applyNumberFormat="1" applyBorder="1"/>
    <xf numFmtId="165" fontId="0" fillId="0" borderId="21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0" xfId="0" applyNumberFormat="1" applyBorder="1"/>
    <xf numFmtId="165" fontId="0" fillId="0" borderId="18" xfId="0" applyNumberFormat="1" applyBorder="1"/>
    <xf numFmtId="165" fontId="5" fillId="0" borderId="26" xfId="0" applyNumberFormat="1" applyFont="1" applyBorder="1"/>
    <xf numFmtId="165" fontId="5" fillId="0" borderId="27" xfId="0" applyNumberFormat="1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24" xfId="0" applyFont="1" applyBorder="1"/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13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5" formatCode="_-* #,##0\ _€_-;\-* #,##0\ _€_-;_-* &quot;-&quot;??\ _€_-;_-@_-"/>
    </dxf>
    <dxf>
      <numFmt numFmtId="2" formatCode="0.00"/>
    </dxf>
    <dxf>
      <numFmt numFmtId="2" formatCode="0.00"/>
    </dxf>
    <dxf>
      <numFmt numFmtId="1" formatCode="0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  <dxf>
      <numFmt numFmtId="165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bert &amp; Duval" refreshedDate="40954.628058564813" createdVersion="4" refreshedVersion="4" recordCount="198">
  <cacheSource type="worksheet">
    <worksheetSource name="base"/>
  </cacheSource>
  <cacheFields count="56">
    <cacheField name="Source Lingot" numFmtId="0">
      <sharedItems count="2">
        <s v="UKTMP"/>
        <s v="EcoTi"/>
      </sharedItems>
    </cacheField>
    <cacheField name="N° ordre" numFmtId="0">
      <sharedItems/>
    </cacheField>
    <cacheField name="Identifiant" numFmtId="0">
      <sharedItems/>
    </cacheField>
    <cacheField name="Année" numFmtId="0">
      <sharedItems containsSemiMixedTypes="0" containsString="0" containsNumber="1" containsInteger="1" minValue="2012" maxValue="2024" count="13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Volume_x000a_(pds)" numFmtId="0">
      <sharedItems containsSemiMixedTypes="0" containsString="0" containsNumber="1" containsInteger="1" minValue="0" maxValue="2345"/>
    </cacheField>
    <cacheField name="Marché / Client" numFmtId="0">
      <sharedItems count="11">
        <s v="Airbus pour AD"/>
        <s v="Airbus hors AD"/>
        <s v="Boeing"/>
        <s v="Autres Avionneurs"/>
        <s v="Motoristes Pièces"/>
        <s v="Motoristes Aubes"/>
        <s v="Médical"/>
        <s v="CP"/>
        <s v="Fasteners"/>
        <s v="TA6V Corrosion"/>
        <s v="DP Militaire"/>
      </sharedItems>
    </cacheField>
    <cacheField name="Finalité" numFmtId="0">
      <sharedItems count="21">
        <s v="Contrat Airbus pour AD"/>
        <s v="Contrat Airbus Fasteners hors AD"/>
        <s v="Structure Boeing source UKTMP"/>
        <s v="Autres Structures source UKTMP"/>
        <s v="Motoristes Pièces source UKTMP"/>
        <s v="Motoristes Aubes source UKTMP"/>
        <s v="Stainless source UKTMP "/>
        <s v="Corrosion Cp"/>
        <s v="Airbus via EcoTi (DoorFrames)"/>
        <s v="Structure hors Airbus source EcoTi"/>
        <s v="Motoristes Pièces source EcoTi Simple Melt"/>
        <s v="Motoristes Aubes source EcoTi"/>
        <s v="Fasteners Internes source EcoTI"/>
        <s v="Stainless source EcoTi"/>
        <s v="Corrosion TA6V source EcoTi"/>
        <s v="Défense source EcoTi"/>
        <s v="Contrat Airbus Structure hors AD"/>
        <s v="Motoristes Pièces source EcoTi Double Melt"/>
        <s v="Motoristes Pièces source EcoTi" u="1"/>
        <s v="Aibus via EcoTi (DoorFrames)" u="1"/>
        <s v="Contrat Airbus hors AD" u="1"/>
      </sharedItems>
    </cacheField>
    <cacheField name="PLT" numFmtId="0">
      <sharedItems containsMixedTypes="1" containsNumber="1" containsInteger="1" minValue="0" maxValue="0" count="4">
        <s v="Structure"/>
        <n v="0"/>
        <s v="Aval UKAD"/>
        <s v="Moteurs"/>
      </sharedItems>
    </cacheField>
    <cacheField name="Grade" numFmtId="0">
      <sharedItems containsSemiMixedTypes="0" containsString="0" containsNumber="1" containsInteger="1" minValue="2" maxValue="23" count="3">
        <n v="5"/>
        <n v="23"/>
        <n v="2"/>
      </sharedItems>
    </cacheField>
    <cacheField name="Mam" numFmtId="0">
      <sharedItems containsSemiMixedTypes="0" containsString="0" containsNumber="1" containsInteger="1" minValue="1160" maxValue="1411"/>
    </cacheField>
    <cacheField name="DP UKAD_x000a_(t)" numFmtId="0">
      <sharedItems containsSemiMixedTypes="0" containsString="0" containsNumber="1" containsInteger="1" minValue="0" maxValue="2345"/>
    </cacheField>
    <cacheField name="Lingot (t)" numFmtId="0">
      <sharedItems containsSemiMixedTypes="0" containsString="0" containsNumber="1" minValue="0" maxValue="2837.45"/>
    </cacheField>
    <cacheField name="Volume Massifs UKAD_x000a_(t)" numFmtId="0">
      <sharedItems containsSemiMixedTypes="0" containsString="0" containsNumber="1" minValue="0" maxValue="123.11249999999998"/>
    </cacheField>
    <cacheField name="Volume Copeaux UKAD_x000a_(t)" numFmtId="0">
      <sharedItems containsSemiMixedTypes="0" containsString="0" containsNumber="1" minValue="0" maxValue="135.42374999999998"/>
    </cacheField>
    <cacheField name="Tarification Chutes UKAD" numFmtId="0">
      <sharedItems/>
    </cacheField>
    <cacheField name="Px Massifs UKAD k$" numFmtId="0">
      <sharedItems containsSemiMixedTypes="0" containsString="0" containsNumber="1" minValue="0" maxValue="1538.9062499999998"/>
    </cacheField>
    <cacheField name="Px Copeaux UKAD k$" numFmtId="0">
      <sharedItems containsSemiMixedTypes="0" containsString="0" containsNumber="1" minValue="0" maxValue="1015.6781249999999"/>
    </cacheField>
    <cacheField name="Code Recupération BA" numFmtId="0">
      <sharedItems/>
    </cacheField>
    <cacheField name="Volume Massifs AD_x000a_(t)" numFmtId="0">
      <sharedItems containsSemiMixedTypes="0" containsString="0" containsNumber="1" minValue="0" maxValue="289.60750000000002"/>
    </cacheField>
    <cacheField name="Volume Copeaux AD_x000a_(t)" numFmtId="0">
      <sharedItems containsSemiMixedTypes="0" containsString="0" containsNumber="1" minValue="0" maxValue="90"/>
    </cacheField>
    <cacheField name="Tarification Chutes AD" numFmtId="0">
      <sharedItems/>
    </cacheField>
    <cacheField name="Px Massifs AD k$" numFmtId="0">
      <sharedItems containsSemiMixedTypes="0" containsString="0" containsNumber="1" minValue="0" maxValue="3620.09375"/>
    </cacheField>
    <cacheField name="Px Copeaux AD k$" numFmtId="0">
      <sharedItems containsSemiMixedTypes="0" containsString="0" containsNumber="1" minValue="0" maxValue="569.83499999999992"/>
    </cacheField>
    <cacheField name="Code Récupération Client" numFmtId="0">
      <sharedItems/>
    </cacheField>
    <cacheField name="Volume Massifs Client_x000a_(t)" numFmtId="0">
      <sharedItems containsSemiMixedTypes="0" containsString="0" containsNumber="1" containsInteger="1" minValue="0" maxValue="52"/>
    </cacheField>
    <cacheField name="Volume Copeaux Client_x000a_(t)" numFmtId="0">
      <sharedItems containsSemiMixedTypes="0" containsString="0" containsNumber="1" minValue="0" maxValue="408.00000000000006"/>
    </cacheField>
    <cacheField name="Tarification Chutes Client" numFmtId="0">
      <sharedItems/>
    </cacheField>
    <cacheField name="Px Massifs Client k$" numFmtId="0">
      <sharedItems containsSemiMixedTypes="0" containsString="0" containsNumber="1" containsInteger="1" minValue="0" maxValue="52"/>
    </cacheField>
    <cacheField name="Px Copeaux Client k$" numFmtId="0">
      <sharedItems containsSemiMixedTypes="0" containsString="0" containsNumber="1" minValue="0" maxValue="244.8"/>
    </cacheField>
    <cacheField name="Total Massif _x000a_UKAD + AD" numFmtId="0">
      <sharedItems containsSemiMixedTypes="0" containsString="0" containsNumber="1" minValue="0" maxValue="412.72"/>
    </cacheField>
    <cacheField name="Total Copeaux_x000a_UKAD + AD" numFmtId="0">
      <sharedItems containsSemiMixedTypes="0" containsString="0" containsNumber="1" minValue="0" maxValue="211.40174999999999"/>
    </cacheField>
    <cacheField name="Chutes UKAD" numFmtId="0">
      <sharedItems containsSemiMixedTypes="0" containsString="0" containsNumber="1" minValue="0" maxValue="258.53625"/>
    </cacheField>
    <cacheField name="Chutes AD" numFmtId="0">
      <sharedItems containsSemiMixedTypes="0" containsString="0" containsNumber="1" minValue="0" maxValue="365.58550000000002"/>
    </cacheField>
    <cacheField name="Chutes Clients" numFmtId="0">
      <sharedItems containsSemiMixedTypes="0" containsString="0" containsNumber="1" minValue="0" maxValue="408.00000000000006"/>
    </cacheField>
    <cacheField name="Total Massif" numFmtId="0">
      <sharedItems containsSemiMixedTypes="0" containsString="0" containsNumber="1" minValue="0" maxValue="412.72"/>
    </cacheField>
    <cacheField name="Total Copeaux" numFmtId="0">
      <sharedItems containsSemiMixedTypes="0" containsString="0" containsNumber="1" minValue="0" maxValue="442.65000000000003"/>
    </cacheField>
    <cacheField name="Potentiel Lingot issu du recyclage_x000a_(t)" numFmtId="0">
      <sharedItems containsSemiMixedTypes="0" containsString="0" containsNumber="1" minValue="0" maxValue="605.44745975000001" count="70">
        <n v="53.1864293"/>
        <n v="365.85034135000001"/>
        <n v="455.95744730000001"/>
        <n v="548.64641875000007"/>
        <n v="605.44745975000001"/>
        <n v="0"/>
        <n v="50.988799999999983"/>
        <n v="59.607551999999977"/>
        <n v="66.515711999999979"/>
        <n v="4.6557787499999996"/>
        <n v="10.346174999999999"/>
        <n v="51.730874999999997"/>
        <n v="103.46174999999999"/>
        <n v="206.92349999999999"/>
        <n v="2.0692349999999999"/>
        <n v="5.1730874999999994"/>
        <n v="20.692349999999998"/>
        <n v="31.038524999999996"/>
        <n v="62.077049999999993"/>
        <n v="82.76939999999999"/>
        <n v="113.807925"/>
        <n v="11.179500000000001"/>
        <n v="22.359000000000002"/>
        <n v="1.11795"/>
        <n v="2.2359"/>
        <n v="5.5897500000000004"/>
        <n v="7.8256500000000004"/>
        <n v="13.4154"/>
        <n v="16.76925"/>
        <n v="5.3240249999999989"/>
        <n v="10.648049999999998"/>
        <n v="15.972074999999997"/>
        <n v="21.296099999999996"/>
        <n v="26.620124999999994"/>
        <n v="31.944149999999993"/>
        <n v="42.592199999999991"/>
        <n v="85.184399999999982"/>
        <n v="106.48049999999998"/>
        <n v="180.21474999999998"/>
        <n v="360.42949999999996"/>
        <n v="540.64424999999994"/>
        <n v="81.523654999999991"/>
        <n v="163.04730999999998"/>
        <n v="244.57096499999997"/>
        <n v="11.520293750000002"/>
        <n v="23.040587500000004"/>
        <n v="46.081175000000009"/>
        <n v="87.554232500000012"/>
        <n v="115.20293750000002"/>
        <n v="92.162350000000018"/>
        <n v="69.121762500000017"/>
        <n v="2.7948750000000002"/>
        <n v="21.241050000000001"/>
        <n v="9.7017500000000005"/>
        <n v="19.403500000000001"/>
        <n v="77.614000000000004"/>
        <n v="116.42100000000001"/>
        <n v="126.12275000000001"/>
        <n v="33.538499999999999"/>
        <n v="50.696257499999994"/>
        <n v="86.907869999999988"/>
        <n v="90.529031249999989"/>
        <n v="91.046339999999987"/>
        <n v="91.563648749999999"/>
        <n v="1.0346175"/>
        <n v="3.1038524999999999"/>
        <n v="22.585500000000003"/>
        <n v="45.171000000000006"/>
        <n v="67.756500000000003"/>
        <n v="90.342000000000013"/>
      </sharedItems>
    </cacheField>
    <cacheField name="Besoin Complémentaire Lingot_x000a_(t)" numFmtId="0">
      <sharedItems containsSemiMixedTypes="0" containsString="0" containsNumber="1" minValue="0" maxValue="979.28635125000005"/>
    </cacheField>
    <cacheField name="Lingot source Négoce Utilisé (t)" numFmtId="0">
      <sharedItems containsSemiMixedTypes="0" containsString="0" containsNumber="1" minValue="0" maxValue="700.48531574999993"/>
    </cacheField>
    <cacheField name="Complément Lingot au Px Marché (t)" numFmtId="0">
      <sharedItems containsSemiMixedTypes="0" containsString="0" containsNumber="1" minValue="0" maxValue="627.87725"/>
    </cacheField>
    <cacheField name="Codification Prix Lingots" numFmtId="0">
      <sharedItems/>
    </cacheField>
    <cacheField name="Volume Massif Négoce (t)" numFmtId="0">
      <sharedItems containsSemiMixedTypes="0" containsString="0" containsNumber="1" minValue="0" maxValue="395.19149999999996"/>
    </cacheField>
    <cacheField name="Volume Copeaux Négoce (t)" numFmtId="0">
      <sharedItems containsSemiMixedTypes="0" containsString="0" containsNumber="1" minValue="0" maxValue="343.32374999999996"/>
    </cacheField>
    <cacheField name="Volume Lingot Potentiel Négoce (t)" numFmtId="0">
      <sharedItems containsSemiMixedTypes="0" containsString="0" containsNumber="1" minValue="0" maxValue="700.48531574999993"/>
    </cacheField>
    <cacheField name="Px Massifs Négoce k$" numFmtId="0">
      <sharedItems containsSemiMixedTypes="0" containsString="0" containsNumber="1" minValue="0" maxValue="395.19149999999996"/>
    </cacheField>
    <cacheField name="Px Copeaux Négoce k$" numFmtId="0">
      <sharedItems containsSemiMixedTypes="0" containsString="0" containsNumber="1" minValue="0" maxValue="205.99424999999997"/>
    </cacheField>
    <cacheField name="Devis Lingot Eco Circulaire_x000a_k$" numFmtId="0">
      <sharedItems containsSemiMixedTypes="0" containsString="0" containsNumber="1" minValue="0" maxValue="8379.9858749999985"/>
    </cacheField>
    <cacheField name="Devis Lingot Source Négoce k$" numFmtId="0">
      <sharedItems containsSemiMixedTypes="0" containsString="0" containsNumber="1" minValue="0" maxValue="10857.522394124999"/>
    </cacheField>
    <cacheField name="Devis Lingot_x000a_Complémentaire PX Marché 1_x000a_k$" numFmtId="0">
      <sharedItems containsSemiMixedTypes="0" containsString="0" containsNumber="1" minValue="0" maxValue="15696.93125"/>
    </cacheField>
    <cacheField name="Devis Prix de Lingot Théorique ($/kg)" numFmtId="0">
      <sharedItems containsSemiMixedTypes="0" containsString="0" containsNumber="1" minValue="0" maxValue="24.247305102764003"/>
    </cacheField>
    <cacheField name="Type Lingot Consommé" numFmtId="0">
      <sharedItems/>
    </cacheField>
    <cacheField name="Potentiel Lingot issu des chutes UKAD_x000a_(t)" numFmtId="0">
      <sharedItems containsSemiMixedTypes="0" containsString="0" containsNumber="1" minValue="0" maxValue="242.61780374999998"/>
    </cacheField>
    <cacheField name="Prix de Vente Lingot Ecoti ($/kg)" numFmtId="0">
      <sharedItems containsSemiMixedTypes="0" containsString="0" containsNumber="1" minValue="0" maxValue="24.247305102764003"/>
    </cacheField>
    <cacheField name="CA Lingot EcoTi (k$)" numFmtId="0">
      <sharedItems containsSemiMixedTypes="0" containsString="0" containsNumber="1" minValue="0" maxValue="19429.91213475"/>
    </cacheField>
    <cacheField name="Codification Prix Lingots2" numFmtId="0">
      <sharedItems/>
    </cacheField>
    <cacheField name="Champ1" numFmtId="0" formula="'Lingot (t)'*'Prix de Vente Lingot Ecoti ($/kg)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x v="0"/>
    <s v="01"/>
    <s v="UKTMP-01"/>
    <x v="0"/>
    <n v="206"/>
    <x v="0"/>
    <x v="0"/>
    <x v="0"/>
    <x v="0"/>
    <n v="1210"/>
    <n v="206"/>
    <n v="249.26"/>
    <n v="10.814999999999998"/>
    <n v="11.8965"/>
    <s v="Marché 1"/>
    <n v="135.18749999999997"/>
    <n v="89.223749999999995"/>
    <s v="AD PAMIERS"/>
    <n v="25.440999999999999"/>
    <n v="6.6743999999999994"/>
    <s v="Marché 1"/>
    <n v="318.01249999999999"/>
    <n v="50.057999999999993"/>
    <s v="SO"/>
    <n v="0"/>
    <n v="0"/>
    <s v="Marché 1"/>
    <n v="0"/>
    <n v="0"/>
    <n v="36.256"/>
    <n v="18.570899999999998"/>
    <n v="22.711499999999997"/>
    <n v="32.115400000000001"/>
    <n v="0"/>
    <n v="36.256"/>
    <n v="18.570899999999998"/>
    <x v="0"/>
    <n v="0"/>
    <n v="0"/>
    <n v="0"/>
    <s v="SO"/>
    <n v="0"/>
    <n v="0"/>
    <n v="0"/>
    <n v="0"/>
    <n v="0"/>
    <n v="0"/>
    <n v="0"/>
    <n v="0"/>
    <n v="0"/>
    <s v="VAR"/>
    <n v="21.313120499999997"/>
    <n v="0"/>
    <n v="0"/>
    <s v="SO"/>
  </r>
  <r>
    <x v="0"/>
    <s v="01"/>
    <s v="UKTMP-01"/>
    <x v="1"/>
    <n v="1417"/>
    <x v="0"/>
    <x v="0"/>
    <x v="0"/>
    <x v="0"/>
    <n v="1210"/>
    <n v="1417"/>
    <n v="1714.57"/>
    <n v="74.392499999999984"/>
    <n v="81.83175"/>
    <s v="Marché 1"/>
    <n v="929.90624999999977"/>
    <n v="613.73812499999997"/>
    <s v="AD PAMIERS"/>
    <n v="174.99950000000001"/>
    <n v="45.910799999999995"/>
    <s v="Marché 1"/>
    <n v="2187.4937500000001"/>
    <n v="344.33099999999996"/>
    <s v="SO"/>
    <n v="0"/>
    <n v="0"/>
    <s v="Marché 1"/>
    <n v="0"/>
    <n v="0"/>
    <n v="249.392"/>
    <n v="127.74254999999999"/>
    <n v="156.22424999999998"/>
    <n v="220.91030000000001"/>
    <n v="0"/>
    <n v="249.392"/>
    <n v="127.74254999999999"/>
    <x v="1"/>
    <n v="0"/>
    <n v="0"/>
    <n v="0"/>
    <s v="SO"/>
    <n v="0"/>
    <n v="0"/>
    <n v="0"/>
    <n v="0"/>
    <n v="0"/>
    <n v="0"/>
    <n v="0"/>
    <n v="0"/>
    <n v="0"/>
    <s v="VAR"/>
    <n v="146.60529974999997"/>
    <n v="0"/>
    <n v="0"/>
    <s v="SO"/>
  </r>
  <r>
    <x v="0"/>
    <s v="01"/>
    <s v="UKTMP-01"/>
    <x v="2"/>
    <n v="1766"/>
    <x v="0"/>
    <x v="0"/>
    <x v="0"/>
    <x v="0"/>
    <n v="1210"/>
    <n v="1766"/>
    <n v="2136.86"/>
    <n v="92.714999999999989"/>
    <n v="101.98649999999999"/>
    <s v="Marché 1"/>
    <n v="1158.9374999999998"/>
    <n v="764.89874999999995"/>
    <s v="AD PAMIERS"/>
    <n v="218.101"/>
    <n v="57.218399999999995"/>
    <s v="Marché 1"/>
    <n v="2726.2624999999998"/>
    <n v="429.13799999999998"/>
    <s v="SO"/>
    <n v="0"/>
    <n v="0"/>
    <s v="Marché 1"/>
    <n v="0"/>
    <n v="0"/>
    <n v="310.81599999999997"/>
    <n v="159.20489999999998"/>
    <n v="194.70149999999998"/>
    <n v="275.31939999999997"/>
    <n v="0"/>
    <n v="310.81599999999997"/>
    <n v="159.20489999999998"/>
    <x v="2"/>
    <n v="0"/>
    <n v="0"/>
    <n v="0"/>
    <s v="SO"/>
    <n v="0"/>
    <n v="0"/>
    <n v="0"/>
    <n v="0"/>
    <n v="0"/>
    <n v="0"/>
    <n v="0"/>
    <n v="0"/>
    <n v="0"/>
    <s v="VAR"/>
    <n v="182.71345049999996"/>
    <n v="0"/>
    <n v="0"/>
    <s v="SO"/>
  </r>
  <r>
    <x v="0"/>
    <s v="01"/>
    <s v="UKTMP-01"/>
    <x v="3"/>
    <n v="2125"/>
    <x v="0"/>
    <x v="0"/>
    <x v="0"/>
    <x v="0"/>
    <n v="1210"/>
    <n v="2125"/>
    <n v="2571.25"/>
    <n v="111.56249999999999"/>
    <n v="122.71874999999999"/>
    <s v="Marché 1"/>
    <n v="1394.5312499999998"/>
    <n v="920.39062499999989"/>
    <s v="AD PAMIERS"/>
    <n v="262.4375"/>
    <n v="68.850000000000009"/>
    <s v="Marché 1"/>
    <n v="3280.46875"/>
    <n v="516.37500000000011"/>
    <s v="SO"/>
    <n v="0"/>
    <n v="0"/>
    <s v="Marché 1"/>
    <n v="0"/>
    <n v="0"/>
    <n v="374"/>
    <n v="191.56874999999999"/>
    <n v="234.28124999999997"/>
    <n v="331.28750000000002"/>
    <n v="0"/>
    <n v="374"/>
    <n v="191.56874999999999"/>
    <x v="3"/>
    <n v="0"/>
    <n v="0"/>
    <n v="0"/>
    <s v="SO"/>
    <n v="0"/>
    <n v="0"/>
    <n v="0"/>
    <n v="0"/>
    <n v="0"/>
    <n v="0"/>
    <n v="0"/>
    <n v="0"/>
    <n v="0"/>
    <s v="VAR"/>
    <n v="219.85621874999998"/>
    <n v="0"/>
    <n v="0"/>
    <s v="SO"/>
  </r>
  <r>
    <x v="0"/>
    <s v="01"/>
    <s v="UKTMP-01"/>
    <x v="4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s v="AD PAMIERS"/>
    <n v="289.60750000000002"/>
    <n v="75.977999999999994"/>
    <s v="Marché 1"/>
    <n v="3620.09375"/>
    <n v="569.83499999999992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x v="4"/>
    <n v="0"/>
    <n v="0"/>
    <n v="0"/>
    <s v="SO"/>
    <n v="0"/>
    <n v="0"/>
    <n v="0"/>
    <n v="0"/>
    <n v="0"/>
    <n v="0"/>
    <n v="0"/>
    <n v="0"/>
    <n v="0"/>
    <s v="VAR"/>
    <n v="242.61780374999998"/>
    <n v="0"/>
    <n v="0"/>
    <s v="SO"/>
  </r>
  <r>
    <x v="0"/>
    <s v="01"/>
    <s v="UKTMP-01"/>
    <x v="5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s v="AD PAMIERS"/>
    <n v="289.60750000000002"/>
    <n v="75.977999999999994"/>
    <s v="Marché 1"/>
    <n v="3620.09375"/>
    <n v="569.83499999999992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x v="4"/>
    <n v="0"/>
    <n v="0"/>
    <n v="0"/>
    <s v="SO"/>
    <n v="0"/>
    <n v="0"/>
    <n v="0"/>
    <n v="0"/>
    <n v="0"/>
    <n v="0"/>
    <n v="0"/>
    <n v="0"/>
    <n v="0"/>
    <s v="VAR"/>
    <n v="242.61780374999998"/>
    <n v="0"/>
    <n v="0"/>
    <s v="SO"/>
  </r>
  <r>
    <x v="0"/>
    <s v="01"/>
    <s v="UKTMP-01"/>
    <x v="6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s v="AD PAMIERS"/>
    <n v="289.60750000000002"/>
    <n v="75.977999999999994"/>
    <s v="Marché 1"/>
    <n v="3620.09375"/>
    <n v="569.83499999999992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x v="4"/>
    <n v="0"/>
    <n v="0"/>
    <n v="0"/>
    <s v="SO"/>
    <n v="0"/>
    <n v="0"/>
    <n v="0"/>
    <n v="0"/>
    <n v="0"/>
    <n v="0"/>
    <n v="0"/>
    <n v="0"/>
    <n v="0"/>
    <s v="VAR"/>
    <n v="242.61780374999998"/>
    <n v="0"/>
    <n v="0"/>
    <s v="SO"/>
  </r>
  <r>
    <x v="0"/>
    <s v="01"/>
    <s v="UKTMP-01"/>
    <x v="7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s v="AD PAMIERS"/>
    <n v="289.60750000000002"/>
    <n v="75.977999999999994"/>
    <s v="Marché 1"/>
    <n v="3620.09375"/>
    <n v="569.83499999999992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x v="4"/>
    <n v="0"/>
    <n v="0"/>
    <n v="0"/>
    <s v="SO"/>
    <n v="0"/>
    <n v="0"/>
    <n v="0"/>
    <n v="0"/>
    <n v="0"/>
    <n v="0"/>
    <n v="0"/>
    <n v="0"/>
    <n v="0"/>
    <s v="VAR"/>
    <n v="242.61780374999998"/>
    <n v="0"/>
    <n v="0"/>
    <s v="SO"/>
  </r>
  <r>
    <x v="0"/>
    <s v="01"/>
    <s v="UKTMP-01"/>
    <x v="8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s v="AD PAMIERS"/>
    <n v="289.60750000000002"/>
    <n v="75.977999999999994"/>
    <s v="Marché 1"/>
    <n v="3620.09375"/>
    <n v="569.83499999999992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x v="4"/>
    <n v="0"/>
    <n v="0"/>
    <n v="0"/>
    <s v="SO"/>
    <n v="0"/>
    <n v="0"/>
    <n v="0"/>
    <n v="0"/>
    <n v="0"/>
    <n v="0"/>
    <n v="0"/>
    <n v="0"/>
    <n v="0"/>
    <s v="VAR"/>
    <n v="242.61780374999998"/>
    <n v="0"/>
    <n v="0"/>
    <s v="SO"/>
  </r>
  <r>
    <x v="0"/>
    <s v="01"/>
    <s v="UKTMP-01"/>
    <x v="9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s v="AD PAMIERS"/>
    <n v="289.60750000000002"/>
    <n v="75.977999999999994"/>
    <s v="Marché 1"/>
    <n v="3620.09375"/>
    <n v="569.83499999999992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x v="4"/>
    <n v="0"/>
    <n v="0"/>
    <n v="0"/>
    <s v="SO"/>
    <n v="0"/>
    <n v="0"/>
    <n v="0"/>
    <n v="0"/>
    <n v="0"/>
    <n v="0"/>
    <n v="0"/>
    <n v="0"/>
    <n v="0"/>
    <s v="VAR"/>
    <n v="242.61780374999998"/>
    <n v="0"/>
    <n v="0"/>
    <s v="SO"/>
  </r>
  <r>
    <x v="0"/>
    <s v="01"/>
    <s v="UKTMP-01"/>
    <x v="10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s v="AD PAMIERS"/>
    <n v="289.60750000000002"/>
    <n v="75.977999999999994"/>
    <s v="Marché 1"/>
    <n v="3620.09375"/>
    <n v="569.83499999999992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x v="4"/>
    <n v="0"/>
    <n v="0"/>
    <n v="0"/>
    <s v="SO"/>
    <n v="0"/>
    <n v="0"/>
    <n v="0"/>
    <n v="0"/>
    <n v="0"/>
    <n v="0"/>
    <n v="0"/>
    <n v="0"/>
    <n v="0"/>
    <s v="VAR"/>
    <n v="242.61780374999998"/>
    <n v="0"/>
    <n v="0"/>
    <s v="SO"/>
  </r>
  <r>
    <x v="0"/>
    <s v="01"/>
    <s v="UKTMP-01"/>
    <x v="11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s v="AD PAMIERS"/>
    <n v="289.60750000000002"/>
    <n v="75.977999999999994"/>
    <s v="Marché 1"/>
    <n v="3620.09375"/>
    <n v="569.83499999999992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x v="4"/>
    <n v="0"/>
    <n v="0"/>
    <n v="0"/>
    <s v="SO"/>
    <n v="0"/>
    <n v="0"/>
    <n v="0"/>
    <n v="0"/>
    <n v="0"/>
    <n v="0"/>
    <n v="0"/>
    <n v="0"/>
    <n v="0"/>
    <s v="VAR"/>
    <n v="242.61780374999998"/>
    <n v="0"/>
    <n v="0"/>
    <s v="SO"/>
  </r>
  <r>
    <x v="0"/>
    <s v="01"/>
    <s v="UKTMP-01"/>
    <x v="12"/>
    <n v="2345"/>
    <x v="0"/>
    <x v="0"/>
    <x v="0"/>
    <x v="0"/>
    <n v="1210"/>
    <n v="2345"/>
    <n v="2837.45"/>
    <n v="123.11249999999998"/>
    <n v="135.42374999999998"/>
    <s v="Marché 1"/>
    <n v="1538.9062499999998"/>
    <n v="1015.6781249999999"/>
    <s v="AD PAMIERS"/>
    <n v="289.60750000000002"/>
    <n v="75.977999999999994"/>
    <s v="Marché 1"/>
    <n v="3620.09375"/>
    <n v="569.83499999999992"/>
    <s v="SO"/>
    <n v="0"/>
    <n v="0"/>
    <s v="Marché 1"/>
    <n v="0"/>
    <n v="0"/>
    <n v="412.72"/>
    <n v="211.40174999999999"/>
    <n v="258.53625"/>
    <n v="365.58550000000002"/>
    <n v="0"/>
    <n v="412.72"/>
    <n v="211.40174999999999"/>
    <x v="4"/>
    <n v="0"/>
    <n v="0"/>
    <n v="0"/>
    <s v="SO"/>
    <n v="0"/>
    <n v="0"/>
    <n v="0"/>
    <n v="0"/>
    <n v="0"/>
    <n v="0"/>
    <n v="0"/>
    <n v="0"/>
    <n v="0"/>
    <s v="VAR"/>
    <n v="242.61780374999998"/>
    <n v="0"/>
    <n v="0"/>
    <s v="SO"/>
  </r>
  <r>
    <x v="0"/>
    <s v="02"/>
    <s v="UKTMP-02"/>
    <x v="0"/>
    <n v="0"/>
    <x v="1"/>
    <x v="1"/>
    <x v="1"/>
    <x v="0"/>
    <n v="116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2"/>
    <s v="UKTMP-02"/>
    <x v="1"/>
    <n v="775"/>
    <x v="1"/>
    <x v="1"/>
    <x v="1"/>
    <x v="0"/>
    <n v="1160"/>
    <n v="775"/>
    <n v="898.99999999999989"/>
    <n v="49.59999999999998"/>
    <n v="0"/>
    <s v="Marché 1"/>
    <n v="619.99999999999977"/>
    <n v="0"/>
    <s v="SO"/>
    <n v="0"/>
    <n v="0"/>
    <s v="Marché 1"/>
    <n v="0"/>
    <n v="0"/>
    <s v="SO"/>
    <n v="0"/>
    <n v="0"/>
    <s v="Marché 1"/>
    <n v="0"/>
    <n v="0"/>
    <n v="49.59999999999998"/>
    <n v="0"/>
    <n v="49.59999999999998"/>
    <n v="0"/>
    <n v="0"/>
    <n v="49.59999999999998"/>
    <n v="0"/>
    <x v="6"/>
    <n v="0"/>
    <n v="0"/>
    <n v="0"/>
    <s v="SO"/>
    <n v="0"/>
    <n v="0"/>
    <n v="0"/>
    <n v="0"/>
    <n v="0"/>
    <n v="0"/>
    <n v="0"/>
    <n v="0"/>
    <n v="0"/>
    <s v="VAR"/>
    <n v="50.988799999999983"/>
    <n v="0"/>
    <n v="0"/>
    <s v="SO"/>
  </r>
  <r>
    <x v="0"/>
    <s v="02"/>
    <s v="UKTMP-02"/>
    <x v="2"/>
    <n v="906"/>
    <x v="1"/>
    <x v="1"/>
    <x v="1"/>
    <x v="0"/>
    <n v="1160"/>
    <n v="906"/>
    <n v="1050.96"/>
    <n v="57.983999999999973"/>
    <n v="0"/>
    <s v="Marché 1"/>
    <n v="724.79999999999961"/>
    <n v="0"/>
    <s v="SO"/>
    <n v="0"/>
    <n v="0"/>
    <s v="Marché 1"/>
    <n v="0"/>
    <n v="0"/>
    <s v="SO"/>
    <n v="0"/>
    <n v="0"/>
    <s v="Marché 1"/>
    <n v="0"/>
    <n v="0"/>
    <n v="57.983999999999973"/>
    <n v="0"/>
    <n v="57.983999999999973"/>
    <n v="0"/>
    <n v="0"/>
    <n v="57.983999999999973"/>
    <n v="0"/>
    <x v="7"/>
    <n v="0"/>
    <n v="0"/>
    <n v="0"/>
    <s v="SO"/>
    <n v="0"/>
    <n v="0"/>
    <n v="0"/>
    <n v="0"/>
    <n v="0"/>
    <n v="0"/>
    <n v="0"/>
    <n v="0"/>
    <n v="0"/>
    <s v="VAR"/>
    <n v="59.607551999999977"/>
    <n v="0"/>
    <n v="0"/>
    <s v="SO"/>
  </r>
  <r>
    <x v="0"/>
    <s v="02"/>
    <s v="UKTMP-02"/>
    <x v="3"/>
    <n v="1011"/>
    <x v="1"/>
    <x v="1"/>
    <x v="1"/>
    <x v="0"/>
    <n v="1160"/>
    <n v="1011"/>
    <n v="1172.76"/>
    <n v="64.703999999999979"/>
    <n v="0"/>
    <s v="Marché 1"/>
    <n v="808.79999999999973"/>
    <n v="0"/>
    <s v="SO"/>
    <n v="0"/>
    <n v="0"/>
    <s v="Marché 1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x v="8"/>
    <n v="0"/>
    <n v="0"/>
    <n v="0"/>
    <s v="SO"/>
    <n v="0"/>
    <n v="0"/>
    <n v="0"/>
    <n v="0"/>
    <n v="0"/>
    <n v="0"/>
    <n v="0"/>
    <n v="0"/>
    <n v="0"/>
    <s v="VAR"/>
    <n v="66.515711999999979"/>
    <n v="0"/>
    <n v="0"/>
    <s v="SO"/>
  </r>
  <r>
    <x v="0"/>
    <s v="02"/>
    <s v="UKTMP-02"/>
    <x v="4"/>
    <n v="1011"/>
    <x v="1"/>
    <x v="1"/>
    <x v="1"/>
    <x v="0"/>
    <n v="1160"/>
    <n v="1011"/>
    <n v="1172.76"/>
    <n v="64.703999999999979"/>
    <n v="0"/>
    <s v="Marché 1"/>
    <n v="808.79999999999973"/>
    <n v="0"/>
    <s v="SO"/>
    <n v="0"/>
    <n v="0"/>
    <s v="Marché 1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x v="8"/>
    <n v="0"/>
    <n v="0"/>
    <n v="0"/>
    <s v="SO"/>
    <n v="0"/>
    <n v="0"/>
    <n v="0"/>
    <n v="0"/>
    <n v="0"/>
    <n v="0"/>
    <n v="0"/>
    <n v="0"/>
    <n v="0"/>
    <s v="VAR"/>
    <n v="66.515711999999979"/>
    <n v="0"/>
    <n v="0"/>
    <s v="SO"/>
  </r>
  <r>
    <x v="0"/>
    <s v="02"/>
    <s v="UKTMP-02"/>
    <x v="5"/>
    <n v="1011"/>
    <x v="1"/>
    <x v="1"/>
    <x v="1"/>
    <x v="0"/>
    <n v="1160"/>
    <n v="1011"/>
    <n v="1172.76"/>
    <n v="64.703999999999979"/>
    <n v="0"/>
    <s v="Marché 1"/>
    <n v="808.79999999999973"/>
    <n v="0"/>
    <s v="SO"/>
    <n v="0"/>
    <n v="0"/>
    <s v="Marché 1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x v="8"/>
    <n v="0"/>
    <n v="0"/>
    <n v="0"/>
    <s v="SO"/>
    <n v="0"/>
    <n v="0"/>
    <n v="0"/>
    <n v="0"/>
    <n v="0"/>
    <n v="0"/>
    <n v="0"/>
    <n v="0"/>
    <n v="0"/>
    <s v="VAR"/>
    <n v="66.515711999999979"/>
    <n v="0"/>
    <n v="0"/>
    <s v="SO"/>
  </r>
  <r>
    <x v="0"/>
    <s v="02"/>
    <s v="UKTMP-02"/>
    <x v="6"/>
    <n v="1011"/>
    <x v="1"/>
    <x v="1"/>
    <x v="1"/>
    <x v="0"/>
    <n v="1160"/>
    <n v="1011"/>
    <n v="1172.76"/>
    <n v="64.703999999999979"/>
    <n v="0"/>
    <s v="Marché 1"/>
    <n v="808.79999999999973"/>
    <n v="0"/>
    <s v="SO"/>
    <n v="0"/>
    <n v="0"/>
    <s v="Marché 1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x v="8"/>
    <n v="0"/>
    <n v="0"/>
    <n v="0"/>
    <s v="SO"/>
    <n v="0"/>
    <n v="0"/>
    <n v="0"/>
    <n v="0"/>
    <n v="0"/>
    <n v="0"/>
    <n v="0"/>
    <n v="0"/>
    <n v="0"/>
    <s v="VAR"/>
    <n v="66.515711999999979"/>
    <n v="0"/>
    <n v="0"/>
    <s v="SO"/>
  </r>
  <r>
    <x v="0"/>
    <s v="02"/>
    <s v="UKTMP-02"/>
    <x v="7"/>
    <n v="1011"/>
    <x v="1"/>
    <x v="1"/>
    <x v="1"/>
    <x v="0"/>
    <n v="1160"/>
    <n v="1011"/>
    <n v="1172.76"/>
    <n v="64.703999999999979"/>
    <n v="0"/>
    <s v="Marché 1"/>
    <n v="808.79999999999973"/>
    <n v="0"/>
    <s v="SO"/>
    <n v="0"/>
    <n v="0"/>
    <s v="Marché 1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x v="8"/>
    <n v="0"/>
    <n v="0"/>
    <n v="0"/>
    <s v="SO"/>
    <n v="0"/>
    <n v="0"/>
    <n v="0"/>
    <n v="0"/>
    <n v="0"/>
    <n v="0"/>
    <n v="0"/>
    <n v="0"/>
    <n v="0"/>
    <s v="VAR"/>
    <n v="66.515711999999979"/>
    <n v="0"/>
    <n v="0"/>
    <s v="SO"/>
  </r>
  <r>
    <x v="0"/>
    <s v="02"/>
    <s v="UKTMP-02"/>
    <x v="8"/>
    <n v="1011"/>
    <x v="1"/>
    <x v="1"/>
    <x v="1"/>
    <x v="0"/>
    <n v="1160"/>
    <n v="1011"/>
    <n v="1172.76"/>
    <n v="64.703999999999979"/>
    <n v="0"/>
    <s v="Marché 1"/>
    <n v="808.79999999999973"/>
    <n v="0"/>
    <s v="SO"/>
    <n v="0"/>
    <n v="0"/>
    <s v="Marché 1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x v="8"/>
    <n v="0"/>
    <n v="0"/>
    <n v="0"/>
    <s v="SO"/>
    <n v="0"/>
    <n v="0"/>
    <n v="0"/>
    <n v="0"/>
    <n v="0"/>
    <n v="0"/>
    <n v="0"/>
    <n v="0"/>
    <n v="0"/>
    <s v="VAR"/>
    <n v="66.515711999999979"/>
    <n v="0"/>
    <n v="0"/>
    <s v="SO"/>
  </r>
  <r>
    <x v="0"/>
    <s v="02"/>
    <s v="UKTMP-02"/>
    <x v="9"/>
    <n v="1011"/>
    <x v="1"/>
    <x v="1"/>
    <x v="1"/>
    <x v="0"/>
    <n v="1160"/>
    <n v="1011"/>
    <n v="1172.76"/>
    <n v="64.703999999999979"/>
    <n v="0"/>
    <s v="Marché 1"/>
    <n v="808.79999999999973"/>
    <n v="0"/>
    <s v="SO"/>
    <n v="0"/>
    <n v="0"/>
    <s v="Marché 1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x v="8"/>
    <n v="0"/>
    <n v="0"/>
    <n v="0"/>
    <s v="SO"/>
    <n v="0"/>
    <n v="0"/>
    <n v="0"/>
    <n v="0"/>
    <n v="0"/>
    <n v="0"/>
    <n v="0"/>
    <n v="0"/>
    <n v="0"/>
    <s v="VAR"/>
    <n v="66.515711999999979"/>
    <n v="0"/>
    <n v="0"/>
    <s v="SO"/>
  </r>
  <r>
    <x v="0"/>
    <s v="02"/>
    <s v="UKTMP-02"/>
    <x v="10"/>
    <n v="1011"/>
    <x v="1"/>
    <x v="1"/>
    <x v="1"/>
    <x v="0"/>
    <n v="1160"/>
    <n v="1011"/>
    <n v="1172.76"/>
    <n v="64.703999999999979"/>
    <n v="0"/>
    <s v="Marché 1"/>
    <n v="808.79999999999973"/>
    <n v="0"/>
    <s v="SO"/>
    <n v="0"/>
    <n v="0"/>
    <s v="Marché 1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x v="8"/>
    <n v="0"/>
    <n v="0"/>
    <n v="0"/>
    <s v="SO"/>
    <n v="0"/>
    <n v="0"/>
    <n v="0"/>
    <n v="0"/>
    <n v="0"/>
    <n v="0"/>
    <n v="0"/>
    <n v="0"/>
    <n v="0"/>
    <s v="VAR"/>
    <n v="66.515711999999979"/>
    <n v="0"/>
    <n v="0"/>
    <s v="SO"/>
  </r>
  <r>
    <x v="0"/>
    <s v="02"/>
    <s v="UKTMP-02"/>
    <x v="11"/>
    <n v="1011"/>
    <x v="1"/>
    <x v="1"/>
    <x v="1"/>
    <x v="0"/>
    <n v="1160"/>
    <n v="1011"/>
    <n v="1172.76"/>
    <n v="64.703999999999979"/>
    <n v="0"/>
    <s v="Marché 1"/>
    <n v="808.79999999999973"/>
    <n v="0"/>
    <s v="SO"/>
    <n v="0"/>
    <n v="0"/>
    <s v="Marché 1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x v="8"/>
    <n v="0"/>
    <n v="0"/>
    <n v="0"/>
    <s v="SO"/>
    <n v="0"/>
    <n v="0"/>
    <n v="0"/>
    <n v="0"/>
    <n v="0"/>
    <n v="0"/>
    <n v="0"/>
    <n v="0"/>
    <n v="0"/>
    <s v="VAR"/>
    <n v="66.515711999999979"/>
    <n v="0"/>
    <n v="0"/>
    <s v="SO"/>
  </r>
  <r>
    <x v="0"/>
    <s v="02"/>
    <s v="UKTMP-02"/>
    <x v="12"/>
    <n v="1011"/>
    <x v="1"/>
    <x v="1"/>
    <x v="1"/>
    <x v="0"/>
    <n v="1160"/>
    <n v="1011"/>
    <n v="1172.76"/>
    <n v="64.703999999999979"/>
    <n v="0"/>
    <s v="Marché 1"/>
    <n v="808.79999999999973"/>
    <n v="0"/>
    <s v="SO"/>
    <n v="0"/>
    <n v="0"/>
    <s v="Marché 1"/>
    <n v="0"/>
    <n v="0"/>
    <s v="SO"/>
    <n v="0"/>
    <n v="0"/>
    <s v="Marché 1"/>
    <n v="0"/>
    <n v="0"/>
    <n v="64.703999999999979"/>
    <n v="0"/>
    <n v="64.703999999999979"/>
    <n v="0"/>
    <n v="0"/>
    <n v="64.703999999999979"/>
    <n v="0"/>
    <x v="8"/>
    <n v="0"/>
    <n v="0"/>
    <n v="0"/>
    <s v="SO"/>
    <n v="0"/>
    <n v="0"/>
    <n v="0"/>
    <n v="0"/>
    <n v="0"/>
    <n v="0"/>
    <n v="0"/>
    <n v="0"/>
    <n v="0"/>
    <s v="VAR"/>
    <n v="66.515711999999979"/>
    <n v="0"/>
    <n v="0"/>
    <s v="SO"/>
  </r>
  <r>
    <x v="0"/>
    <s v="03"/>
    <s v="UKTMP-03"/>
    <x v="0"/>
    <n v="0"/>
    <x v="2"/>
    <x v="2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3"/>
    <s v="UKTMP-03"/>
    <x v="1"/>
    <n v="45"/>
    <x v="2"/>
    <x v="2"/>
    <x v="1"/>
    <x v="0"/>
    <n v="1210"/>
    <n v="45"/>
    <n v="54.449999999999996"/>
    <n v="2.3624999999999998"/>
    <n v="2.5987499999999999"/>
    <s v="Marché 1"/>
    <n v="29.531249999999996"/>
    <n v="19.490624999999998"/>
    <s v="SO"/>
    <n v="0"/>
    <n v="0"/>
    <s v="Marché 1"/>
    <n v="0"/>
    <n v="0"/>
    <s v="SO"/>
    <n v="0"/>
    <n v="0"/>
    <s v="Marché 1"/>
    <n v="0"/>
    <n v="0"/>
    <n v="2.3624999999999998"/>
    <n v="2.5987499999999999"/>
    <n v="4.9612499999999997"/>
    <n v="0"/>
    <n v="0"/>
    <n v="2.3624999999999998"/>
    <n v="2.5987499999999999"/>
    <x v="9"/>
    <n v="0"/>
    <n v="0"/>
    <n v="0"/>
    <s v="SO"/>
    <n v="0"/>
    <n v="0"/>
    <n v="0"/>
    <n v="0"/>
    <n v="0"/>
    <n v="0"/>
    <n v="0"/>
    <n v="0"/>
    <n v="0"/>
    <s v="VAR"/>
    <n v="4.6557787499999996"/>
    <n v="0"/>
    <n v="0"/>
    <s v="SO"/>
  </r>
  <r>
    <x v="0"/>
    <s v="03"/>
    <s v="UKTMP-03"/>
    <x v="2"/>
    <n v="45"/>
    <x v="2"/>
    <x v="2"/>
    <x v="1"/>
    <x v="0"/>
    <n v="1210"/>
    <n v="45"/>
    <n v="54.449999999999996"/>
    <n v="2.3624999999999998"/>
    <n v="2.5987499999999999"/>
    <s v="Marché 1"/>
    <n v="29.531249999999996"/>
    <n v="19.490624999999998"/>
    <s v="SO"/>
    <n v="0"/>
    <n v="0"/>
    <s v="Marché 1"/>
    <n v="0"/>
    <n v="0"/>
    <s v="SO"/>
    <n v="0"/>
    <n v="0"/>
    <s v="Marché 1"/>
    <n v="0"/>
    <n v="0"/>
    <n v="2.3624999999999998"/>
    <n v="2.5987499999999999"/>
    <n v="4.9612499999999997"/>
    <n v="0"/>
    <n v="0"/>
    <n v="2.3624999999999998"/>
    <n v="2.5987499999999999"/>
    <x v="9"/>
    <n v="0"/>
    <n v="0"/>
    <n v="0"/>
    <s v="SO"/>
    <n v="0"/>
    <n v="0"/>
    <n v="0"/>
    <n v="0"/>
    <n v="0"/>
    <n v="0"/>
    <n v="0"/>
    <n v="0"/>
    <n v="0"/>
    <s v="VAR"/>
    <n v="4.6557787499999996"/>
    <n v="0"/>
    <n v="0"/>
    <s v="SO"/>
  </r>
  <r>
    <x v="0"/>
    <s v="03"/>
    <s v="UKTMP-03"/>
    <x v="3"/>
    <n v="100"/>
    <x v="2"/>
    <x v="2"/>
    <x v="1"/>
    <x v="0"/>
    <n v="1210"/>
    <n v="100"/>
    <n v="121"/>
    <n v="5.2499999999999991"/>
    <n v="5.7749999999999995"/>
    <s v="Marché 1"/>
    <n v="65.624999999999986"/>
    <n v="43.312499999999993"/>
    <s v="SO"/>
    <n v="0"/>
    <n v="0"/>
    <s v="Marché 1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x v="10"/>
    <n v="0"/>
    <n v="0"/>
    <n v="0"/>
    <s v="SO"/>
    <n v="0"/>
    <n v="0"/>
    <n v="0"/>
    <n v="0"/>
    <n v="0"/>
    <n v="0"/>
    <n v="0"/>
    <n v="0"/>
    <n v="0"/>
    <s v="VAR"/>
    <n v="10.346174999999999"/>
    <n v="0"/>
    <n v="0"/>
    <s v="SO"/>
  </r>
  <r>
    <x v="0"/>
    <s v="03"/>
    <s v="UKTMP-03"/>
    <x v="4"/>
    <n v="500"/>
    <x v="2"/>
    <x v="2"/>
    <x v="1"/>
    <x v="0"/>
    <n v="1210"/>
    <n v="500"/>
    <n v="605"/>
    <n v="26.249999999999996"/>
    <n v="28.874999999999996"/>
    <s v="Marché 1"/>
    <n v="328.12499999999994"/>
    <n v="216.56249999999997"/>
    <s v="SO"/>
    <n v="0"/>
    <n v="0"/>
    <s v="Marché 1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x v="11"/>
    <n v="0"/>
    <n v="0"/>
    <n v="0"/>
    <s v="SO"/>
    <n v="0"/>
    <n v="0"/>
    <n v="0"/>
    <n v="0"/>
    <n v="0"/>
    <n v="0"/>
    <n v="0"/>
    <n v="0"/>
    <n v="0"/>
    <s v="VAR"/>
    <n v="51.730874999999997"/>
    <n v="0"/>
    <n v="0"/>
    <s v="SO"/>
  </r>
  <r>
    <x v="0"/>
    <s v="03"/>
    <s v="UKTMP-03"/>
    <x v="5"/>
    <n v="1000"/>
    <x v="2"/>
    <x v="2"/>
    <x v="1"/>
    <x v="0"/>
    <n v="1210"/>
    <n v="1000"/>
    <n v="1210"/>
    <n v="52.499999999999993"/>
    <n v="57.749999999999993"/>
    <s v="Marché 1"/>
    <n v="656.24999999999989"/>
    <n v="433.12499999999994"/>
    <s v="SO"/>
    <n v="0"/>
    <n v="0"/>
    <s v="Marché 1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x v="12"/>
    <n v="0"/>
    <n v="0"/>
    <n v="0"/>
    <s v="SO"/>
    <n v="0"/>
    <n v="0"/>
    <n v="0"/>
    <n v="0"/>
    <n v="0"/>
    <n v="0"/>
    <n v="0"/>
    <n v="0"/>
    <n v="0"/>
    <s v="VAR"/>
    <n v="103.46174999999999"/>
    <n v="0"/>
    <n v="0"/>
    <s v="SO"/>
  </r>
  <r>
    <x v="0"/>
    <s v="03"/>
    <s v="UKTMP-03"/>
    <x v="6"/>
    <n v="1000"/>
    <x v="2"/>
    <x v="2"/>
    <x v="1"/>
    <x v="0"/>
    <n v="1210"/>
    <n v="1000"/>
    <n v="1210"/>
    <n v="52.499999999999993"/>
    <n v="57.749999999999993"/>
    <s v="Marché 1"/>
    <n v="656.24999999999989"/>
    <n v="433.12499999999994"/>
    <s v="SO"/>
    <n v="0"/>
    <n v="0"/>
    <s v="Marché 1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x v="12"/>
    <n v="0"/>
    <n v="0"/>
    <n v="0"/>
    <s v="SO"/>
    <n v="0"/>
    <n v="0"/>
    <n v="0"/>
    <n v="0"/>
    <n v="0"/>
    <n v="0"/>
    <n v="0"/>
    <n v="0"/>
    <n v="0"/>
    <s v="VAR"/>
    <n v="103.46174999999999"/>
    <n v="0"/>
    <n v="0"/>
    <s v="SO"/>
  </r>
  <r>
    <x v="0"/>
    <s v="03"/>
    <s v="UKTMP-03"/>
    <x v="7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s v="SO"/>
    <n v="0"/>
    <n v="0"/>
    <s v="Marché 1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x v="13"/>
    <n v="0"/>
    <n v="0"/>
    <n v="0"/>
    <s v="SO"/>
    <n v="0"/>
    <n v="0"/>
    <n v="0"/>
    <n v="0"/>
    <n v="0"/>
    <n v="0"/>
    <n v="0"/>
    <n v="0"/>
    <n v="0"/>
    <s v="VAR"/>
    <n v="206.92349999999999"/>
    <n v="0"/>
    <n v="0"/>
    <s v="SO"/>
  </r>
  <r>
    <x v="0"/>
    <s v="03"/>
    <s v="UKTMP-03"/>
    <x v="8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s v="SO"/>
    <n v="0"/>
    <n v="0"/>
    <s v="Marché 1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x v="13"/>
    <n v="0"/>
    <n v="0"/>
    <n v="0"/>
    <s v="SO"/>
    <n v="0"/>
    <n v="0"/>
    <n v="0"/>
    <n v="0"/>
    <n v="0"/>
    <n v="0"/>
    <n v="0"/>
    <n v="0"/>
    <n v="0"/>
    <s v="VAR"/>
    <n v="206.92349999999999"/>
    <n v="0"/>
    <n v="0"/>
    <s v="SO"/>
  </r>
  <r>
    <x v="0"/>
    <s v="03"/>
    <s v="UKTMP-03"/>
    <x v="9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s v="SO"/>
    <n v="0"/>
    <n v="0"/>
    <s v="Marché 1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x v="13"/>
    <n v="0"/>
    <n v="0"/>
    <n v="0"/>
    <s v="SO"/>
    <n v="0"/>
    <n v="0"/>
    <n v="0"/>
    <n v="0"/>
    <n v="0"/>
    <n v="0"/>
    <n v="0"/>
    <n v="0"/>
    <n v="0"/>
    <s v="VAR"/>
    <n v="206.92349999999999"/>
    <n v="0"/>
    <n v="0"/>
    <s v="SO"/>
  </r>
  <r>
    <x v="0"/>
    <s v="03"/>
    <s v="UKTMP-03"/>
    <x v="10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s v="SO"/>
    <n v="0"/>
    <n v="0"/>
    <s v="Marché 1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x v="13"/>
    <n v="0"/>
    <n v="0"/>
    <n v="0"/>
    <s v="SO"/>
    <n v="0"/>
    <n v="0"/>
    <n v="0"/>
    <n v="0"/>
    <n v="0"/>
    <n v="0"/>
    <n v="0"/>
    <n v="0"/>
    <n v="0"/>
    <s v="VAR"/>
    <n v="206.92349999999999"/>
    <n v="0"/>
    <n v="0"/>
    <s v="SO"/>
  </r>
  <r>
    <x v="0"/>
    <s v="03"/>
    <s v="UKTMP-03"/>
    <x v="11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s v="SO"/>
    <n v="0"/>
    <n v="0"/>
    <s v="Marché 1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x v="13"/>
    <n v="0"/>
    <n v="0"/>
    <n v="0"/>
    <s v="SO"/>
    <n v="0"/>
    <n v="0"/>
    <n v="0"/>
    <n v="0"/>
    <n v="0"/>
    <n v="0"/>
    <n v="0"/>
    <n v="0"/>
    <n v="0"/>
    <s v="VAR"/>
    <n v="206.92349999999999"/>
    <n v="0"/>
    <n v="0"/>
    <s v="SO"/>
  </r>
  <r>
    <x v="0"/>
    <s v="03"/>
    <s v="UKTMP-03"/>
    <x v="12"/>
    <n v="2000"/>
    <x v="2"/>
    <x v="2"/>
    <x v="1"/>
    <x v="0"/>
    <n v="1210"/>
    <n v="2000"/>
    <n v="2420"/>
    <n v="104.99999999999999"/>
    <n v="115.49999999999999"/>
    <s v="Marché 1"/>
    <n v="1312.4999999999998"/>
    <n v="866.24999999999989"/>
    <s v="SO"/>
    <n v="0"/>
    <n v="0"/>
    <s v="Marché 1"/>
    <n v="0"/>
    <n v="0"/>
    <s v="SO"/>
    <n v="0"/>
    <n v="0"/>
    <s v="Marché 1"/>
    <n v="0"/>
    <n v="0"/>
    <n v="104.99999999999999"/>
    <n v="115.49999999999999"/>
    <n v="220.49999999999997"/>
    <n v="0"/>
    <n v="0"/>
    <n v="104.99999999999999"/>
    <n v="115.49999999999999"/>
    <x v="13"/>
    <n v="0"/>
    <n v="0"/>
    <n v="0"/>
    <s v="SO"/>
    <n v="0"/>
    <n v="0"/>
    <n v="0"/>
    <n v="0"/>
    <n v="0"/>
    <n v="0"/>
    <n v="0"/>
    <n v="0"/>
    <n v="0"/>
    <s v="VAR"/>
    <n v="206.92349999999999"/>
    <n v="0"/>
    <n v="0"/>
    <s v="SO"/>
  </r>
  <r>
    <x v="0"/>
    <s v="04"/>
    <s v="UKTMP-04"/>
    <x v="0"/>
    <n v="0"/>
    <x v="3"/>
    <x v="3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4"/>
    <s v="UKTMP-04"/>
    <x v="1"/>
    <n v="20"/>
    <x v="3"/>
    <x v="3"/>
    <x v="1"/>
    <x v="0"/>
    <n v="1210"/>
    <n v="20"/>
    <n v="24.2"/>
    <n v="1.0499999999999998"/>
    <n v="1.1549999999999998"/>
    <s v="Marché 1"/>
    <n v="13.124999999999998"/>
    <n v="8.6624999999999979"/>
    <s v="SO"/>
    <n v="0"/>
    <n v="0"/>
    <s v="Marché 1"/>
    <n v="0"/>
    <n v="0"/>
    <s v="SO"/>
    <n v="0"/>
    <n v="0"/>
    <s v="Marché 1"/>
    <n v="0"/>
    <n v="0"/>
    <n v="1.0499999999999998"/>
    <n v="1.1549999999999998"/>
    <n v="2.2049999999999996"/>
    <n v="0"/>
    <n v="0"/>
    <n v="1.0499999999999998"/>
    <n v="1.1549999999999998"/>
    <x v="14"/>
    <n v="0"/>
    <n v="0"/>
    <n v="0"/>
    <s v="SO"/>
    <n v="0"/>
    <n v="0"/>
    <n v="0"/>
    <n v="0"/>
    <n v="0"/>
    <n v="0"/>
    <n v="0"/>
    <n v="0"/>
    <n v="0"/>
    <s v="VAR"/>
    <n v="2.0692349999999999"/>
    <n v="0"/>
    <n v="0"/>
    <s v="SO"/>
  </r>
  <r>
    <x v="0"/>
    <s v="04"/>
    <s v="UKTMP-04"/>
    <x v="2"/>
    <n v="20"/>
    <x v="3"/>
    <x v="3"/>
    <x v="1"/>
    <x v="0"/>
    <n v="1210"/>
    <n v="20"/>
    <n v="24.2"/>
    <n v="1.0499999999999998"/>
    <n v="1.1549999999999998"/>
    <s v="Marché 1"/>
    <n v="13.124999999999998"/>
    <n v="8.6624999999999979"/>
    <s v="SO"/>
    <n v="0"/>
    <n v="0"/>
    <s v="Marché 1"/>
    <n v="0"/>
    <n v="0"/>
    <s v="SO"/>
    <n v="0"/>
    <n v="0"/>
    <s v="Marché 1"/>
    <n v="0"/>
    <n v="0"/>
    <n v="1.0499999999999998"/>
    <n v="1.1549999999999998"/>
    <n v="2.2049999999999996"/>
    <n v="0"/>
    <n v="0"/>
    <n v="1.0499999999999998"/>
    <n v="1.1549999999999998"/>
    <x v="14"/>
    <n v="0"/>
    <n v="0"/>
    <n v="0"/>
    <s v="SO"/>
    <n v="0"/>
    <n v="0"/>
    <n v="0"/>
    <n v="0"/>
    <n v="0"/>
    <n v="0"/>
    <n v="0"/>
    <n v="0"/>
    <n v="0"/>
    <s v="VAR"/>
    <n v="2.0692349999999999"/>
    <n v="0"/>
    <n v="0"/>
    <s v="SO"/>
  </r>
  <r>
    <x v="0"/>
    <s v="04"/>
    <s v="UKTMP-04"/>
    <x v="3"/>
    <n v="50"/>
    <x v="3"/>
    <x v="3"/>
    <x v="1"/>
    <x v="0"/>
    <n v="1210"/>
    <n v="50"/>
    <n v="60.5"/>
    <n v="2.6249999999999996"/>
    <n v="2.8874999999999997"/>
    <s v="Marché 1"/>
    <n v="32.812499999999993"/>
    <n v="21.656249999999996"/>
    <s v="SO"/>
    <n v="0"/>
    <n v="0"/>
    <s v="Marché 1"/>
    <n v="0"/>
    <n v="0"/>
    <s v="SO"/>
    <n v="0"/>
    <n v="0"/>
    <s v="Marché 1"/>
    <n v="0"/>
    <n v="0"/>
    <n v="2.6249999999999996"/>
    <n v="2.8874999999999997"/>
    <n v="5.5124999999999993"/>
    <n v="0"/>
    <n v="0"/>
    <n v="2.6249999999999996"/>
    <n v="2.8874999999999997"/>
    <x v="15"/>
    <n v="0"/>
    <n v="0"/>
    <n v="0"/>
    <s v="SO"/>
    <n v="0"/>
    <n v="0"/>
    <n v="0"/>
    <n v="0"/>
    <n v="0"/>
    <n v="0"/>
    <n v="0"/>
    <n v="0"/>
    <n v="0"/>
    <s v="VAR"/>
    <n v="5.1730874999999994"/>
    <n v="0"/>
    <n v="0"/>
    <s v="SO"/>
  </r>
  <r>
    <x v="0"/>
    <s v="04"/>
    <s v="UKTMP-04"/>
    <x v="4"/>
    <n v="100"/>
    <x v="3"/>
    <x v="3"/>
    <x v="1"/>
    <x v="0"/>
    <n v="1210"/>
    <n v="100"/>
    <n v="121"/>
    <n v="5.2499999999999991"/>
    <n v="5.7749999999999995"/>
    <s v="Marché 1"/>
    <n v="65.624999999999986"/>
    <n v="43.312499999999993"/>
    <s v="SO"/>
    <n v="0"/>
    <n v="0"/>
    <s v="Marché 1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x v="10"/>
    <n v="0"/>
    <n v="0"/>
    <n v="0"/>
    <s v="SO"/>
    <n v="0"/>
    <n v="0"/>
    <n v="0"/>
    <n v="0"/>
    <n v="0"/>
    <n v="0"/>
    <n v="0"/>
    <n v="0"/>
    <n v="0"/>
    <s v="VAR"/>
    <n v="10.346174999999999"/>
    <n v="0"/>
    <n v="0"/>
    <s v="SO"/>
  </r>
  <r>
    <x v="0"/>
    <s v="04"/>
    <s v="UKTMP-04"/>
    <x v="5"/>
    <n v="200"/>
    <x v="3"/>
    <x v="3"/>
    <x v="1"/>
    <x v="0"/>
    <n v="1210"/>
    <n v="200"/>
    <n v="242"/>
    <n v="10.499999999999998"/>
    <n v="11.549999999999999"/>
    <s v="Marché 1"/>
    <n v="131.24999999999997"/>
    <n v="86.624999999999986"/>
    <s v="SO"/>
    <n v="0"/>
    <n v="0"/>
    <s v="Marché 1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x v="16"/>
    <n v="0"/>
    <n v="0"/>
    <n v="0"/>
    <s v="SO"/>
    <n v="0"/>
    <n v="0"/>
    <n v="0"/>
    <n v="0"/>
    <n v="0"/>
    <n v="0"/>
    <n v="0"/>
    <n v="0"/>
    <n v="0"/>
    <s v="VAR"/>
    <n v="20.692349999999998"/>
    <n v="0"/>
    <n v="0"/>
    <s v="SO"/>
  </r>
  <r>
    <x v="0"/>
    <s v="04"/>
    <s v="UKTMP-04"/>
    <x v="6"/>
    <n v="200"/>
    <x v="3"/>
    <x v="3"/>
    <x v="1"/>
    <x v="0"/>
    <n v="1210"/>
    <n v="200"/>
    <n v="242"/>
    <n v="10.499999999999998"/>
    <n v="11.549999999999999"/>
    <s v="Marché 1"/>
    <n v="131.24999999999997"/>
    <n v="86.624999999999986"/>
    <s v="SO"/>
    <n v="0"/>
    <n v="0"/>
    <s v="Marché 1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x v="16"/>
    <n v="0"/>
    <n v="0"/>
    <n v="0"/>
    <s v="SO"/>
    <n v="0"/>
    <n v="0"/>
    <n v="0"/>
    <n v="0"/>
    <n v="0"/>
    <n v="0"/>
    <n v="0"/>
    <n v="0"/>
    <n v="0"/>
    <s v="VAR"/>
    <n v="20.692349999999998"/>
    <n v="0"/>
    <n v="0"/>
    <s v="SO"/>
  </r>
  <r>
    <x v="0"/>
    <s v="04"/>
    <s v="UKTMP-04"/>
    <x v="7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s v="SO"/>
    <n v="0"/>
    <n v="0"/>
    <s v="Marché 1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x v="11"/>
    <n v="0"/>
    <n v="0"/>
    <n v="0"/>
    <s v="SO"/>
    <n v="0"/>
    <n v="0"/>
    <n v="0"/>
    <n v="0"/>
    <n v="0"/>
    <n v="0"/>
    <n v="0"/>
    <n v="0"/>
    <n v="0"/>
    <s v="VAR"/>
    <n v="51.730874999999997"/>
    <n v="0"/>
    <n v="0"/>
    <s v="SO"/>
  </r>
  <r>
    <x v="0"/>
    <s v="04"/>
    <s v="UKTMP-04"/>
    <x v="8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s v="SO"/>
    <n v="0"/>
    <n v="0"/>
    <s v="Marché 1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x v="11"/>
    <n v="0"/>
    <n v="0"/>
    <n v="0"/>
    <s v="SO"/>
    <n v="0"/>
    <n v="0"/>
    <n v="0"/>
    <n v="0"/>
    <n v="0"/>
    <n v="0"/>
    <n v="0"/>
    <n v="0"/>
    <n v="0"/>
    <s v="VAR"/>
    <n v="51.730874999999997"/>
    <n v="0"/>
    <n v="0"/>
    <s v="SO"/>
  </r>
  <r>
    <x v="0"/>
    <s v="04"/>
    <s v="UKTMP-04"/>
    <x v="9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s v="SO"/>
    <n v="0"/>
    <n v="0"/>
    <s v="Marché 1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x v="11"/>
    <n v="0"/>
    <n v="0"/>
    <n v="0"/>
    <s v="SO"/>
    <n v="0"/>
    <n v="0"/>
    <n v="0"/>
    <n v="0"/>
    <n v="0"/>
    <n v="0"/>
    <n v="0"/>
    <n v="0"/>
    <n v="0"/>
    <s v="VAR"/>
    <n v="51.730874999999997"/>
    <n v="0"/>
    <n v="0"/>
    <s v="SO"/>
  </r>
  <r>
    <x v="0"/>
    <s v="04"/>
    <s v="UKTMP-04"/>
    <x v="10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s v="SO"/>
    <n v="0"/>
    <n v="0"/>
    <s v="Marché 1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x v="11"/>
    <n v="0"/>
    <n v="0"/>
    <n v="0"/>
    <s v="SO"/>
    <n v="0"/>
    <n v="0"/>
    <n v="0"/>
    <n v="0"/>
    <n v="0"/>
    <n v="0"/>
    <n v="0"/>
    <n v="0"/>
    <n v="0"/>
    <s v="VAR"/>
    <n v="51.730874999999997"/>
    <n v="0"/>
    <n v="0"/>
    <s v="SO"/>
  </r>
  <r>
    <x v="0"/>
    <s v="04"/>
    <s v="UKTMP-04"/>
    <x v="11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s v="SO"/>
    <n v="0"/>
    <n v="0"/>
    <s v="Marché 1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x v="11"/>
    <n v="0"/>
    <n v="0"/>
    <n v="0"/>
    <s v="SO"/>
    <n v="0"/>
    <n v="0"/>
    <n v="0"/>
    <n v="0"/>
    <n v="0"/>
    <n v="0"/>
    <n v="0"/>
    <n v="0"/>
    <n v="0"/>
    <s v="VAR"/>
    <n v="51.730874999999997"/>
    <n v="0"/>
    <n v="0"/>
    <s v="SO"/>
  </r>
  <r>
    <x v="0"/>
    <s v="04"/>
    <s v="UKTMP-04"/>
    <x v="12"/>
    <n v="500"/>
    <x v="3"/>
    <x v="3"/>
    <x v="1"/>
    <x v="0"/>
    <n v="1210"/>
    <n v="500"/>
    <n v="605"/>
    <n v="26.249999999999996"/>
    <n v="28.874999999999996"/>
    <s v="Marché 1"/>
    <n v="328.12499999999994"/>
    <n v="216.56249999999997"/>
    <s v="SO"/>
    <n v="0"/>
    <n v="0"/>
    <s v="Marché 1"/>
    <n v="0"/>
    <n v="0"/>
    <s v="SO"/>
    <n v="0"/>
    <n v="0"/>
    <s v="Marché 1"/>
    <n v="0"/>
    <n v="0"/>
    <n v="26.249999999999996"/>
    <n v="28.874999999999996"/>
    <n v="55.124999999999993"/>
    <n v="0"/>
    <n v="0"/>
    <n v="26.249999999999996"/>
    <n v="28.874999999999996"/>
    <x v="11"/>
    <n v="0"/>
    <n v="0"/>
    <n v="0"/>
    <s v="SO"/>
    <n v="0"/>
    <n v="0"/>
    <n v="0"/>
    <n v="0"/>
    <n v="0"/>
    <n v="0"/>
    <n v="0"/>
    <n v="0"/>
    <n v="0"/>
    <s v="VAR"/>
    <n v="51.730874999999997"/>
    <n v="0"/>
    <n v="0"/>
    <s v="SO"/>
  </r>
  <r>
    <x v="0"/>
    <s v="05"/>
    <s v="UKTMP-05"/>
    <x v="0"/>
    <n v="0"/>
    <x v="4"/>
    <x v="4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5"/>
    <s v="UKTMP-05"/>
    <x v="1"/>
    <n v="100"/>
    <x v="4"/>
    <x v="4"/>
    <x v="1"/>
    <x v="0"/>
    <n v="1210"/>
    <n v="100"/>
    <n v="121"/>
    <n v="5.2499999999999991"/>
    <n v="5.7749999999999995"/>
    <s v="Marché 1"/>
    <n v="65.624999999999986"/>
    <n v="43.312499999999993"/>
    <s v="SO"/>
    <n v="0"/>
    <n v="0"/>
    <s v="Marché 1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x v="10"/>
    <n v="0"/>
    <n v="0"/>
    <n v="0"/>
    <s v="SO"/>
    <n v="0"/>
    <n v="0"/>
    <n v="0"/>
    <n v="0"/>
    <n v="0"/>
    <n v="0"/>
    <n v="0"/>
    <n v="0"/>
    <n v="0"/>
    <s v="VAR"/>
    <n v="10.346174999999999"/>
    <n v="0"/>
    <n v="0"/>
    <s v="SO"/>
  </r>
  <r>
    <x v="0"/>
    <s v="05"/>
    <s v="UKTMP-05"/>
    <x v="2"/>
    <n v="100"/>
    <x v="4"/>
    <x v="4"/>
    <x v="1"/>
    <x v="0"/>
    <n v="1210"/>
    <n v="100"/>
    <n v="121"/>
    <n v="5.2499999999999991"/>
    <n v="5.7749999999999995"/>
    <s v="Marché 1"/>
    <n v="65.624999999999986"/>
    <n v="43.312499999999993"/>
    <s v="SO"/>
    <n v="0"/>
    <n v="0"/>
    <s v="Marché 1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x v="10"/>
    <n v="0"/>
    <n v="0"/>
    <n v="0"/>
    <s v="SO"/>
    <n v="0"/>
    <n v="0"/>
    <n v="0"/>
    <n v="0"/>
    <n v="0"/>
    <n v="0"/>
    <n v="0"/>
    <n v="0"/>
    <n v="0"/>
    <s v="VAR"/>
    <n v="10.346174999999999"/>
    <n v="0"/>
    <n v="0"/>
    <s v="SO"/>
  </r>
  <r>
    <x v="0"/>
    <s v="05"/>
    <s v="UKTMP-05"/>
    <x v="3"/>
    <n v="100"/>
    <x v="4"/>
    <x v="4"/>
    <x v="1"/>
    <x v="0"/>
    <n v="1210"/>
    <n v="100"/>
    <n v="121"/>
    <n v="5.2499999999999991"/>
    <n v="5.7749999999999995"/>
    <s v="Marché 1"/>
    <n v="65.624999999999986"/>
    <n v="43.312499999999993"/>
    <s v="SO"/>
    <n v="0"/>
    <n v="0"/>
    <s v="Marché 1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x v="10"/>
    <n v="0"/>
    <n v="0"/>
    <n v="0"/>
    <s v="SO"/>
    <n v="0"/>
    <n v="0"/>
    <n v="0"/>
    <n v="0"/>
    <n v="0"/>
    <n v="0"/>
    <n v="0"/>
    <n v="0"/>
    <n v="0"/>
    <s v="VAR"/>
    <n v="10.346174999999999"/>
    <n v="0"/>
    <n v="0"/>
    <s v="SO"/>
  </r>
  <r>
    <x v="0"/>
    <s v="05"/>
    <s v="UKTMP-05"/>
    <x v="4"/>
    <n v="200"/>
    <x v="4"/>
    <x v="4"/>
    <x v="1"/>
    <x v="0"/>
    <n v="1210"/>
    <n v="200"/>
    <n v="242"/>
    <n v="10.499999999999998"/>
    <n v="11.549999999999999"/>
    <s v="Marché 1"/>
    <n v="131.24999999999997"/>
    <n v="86.624999999999986"/>
    <s v="SO"/>
    <n v="0"/>
    <n v="0"/>
    <s v="Marché 1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x v="16"/>
    <n v="0"/>
    <n v="0"/>
    <n v="0"/>
    <s v="SO"/>
    <n v="0"/>
    <n v="0"/>
    <n v="0"/>
    <n v="0"/>
    <n v="0"/>
    <n v="0"/>
    <n v="0"/>
    <n v="0"/>
    <n v="0"/>
    <s v="VAR"/>
    <n v="20.692349999999998"/>
    <n v="0"/>
    <n v="0"/>
    <s v="SO"/>
  </r>
  <r>
    <x v="0"/>
    <s v="05"/>
    <s v="UKTMP-05"/>
    <x v="5"/>
    <n v="300"/>
    <x v="4"/>
    <x v="4"/>
    <x v="1"/>
    <x v="0"/>
    <n v="1210"/>
    <n v="300"/>
    <n v="363"/>
    <n v="15.749999999999996"/>
    <n v="17.324999999999999"/>
    <s v="Marché 1"/>
    <n v="196.87499999999994"/>
    <n v="129.9375"/>
    <s v="SO"/>
    <n v="0"/>
    <n v="0"/>
    <s v="Marché 1"/>
    <n v="0"/>
    <n v="0"/>
    <s v="SO"/>
    <n v="0"/>
    <n v="0"/>
    <s v="Marché 1"/>
    <n v="0"/>
    <n v="0"/>
    <n v="15.749999999999996"/>
    <n v="17.324999999999999"/>
    <n v="33.074999999999996"/>
    <n v="0"/>
    <n v="0"/>
    <n v="15.749999999999996"/>
    <n v="17.324999999999999"/>
    <x v="17"/>
    <n v="0"/>
    <n v="0"/>
    <n v="0"/>
    <s v="SO"/>
    <n v="0"/>
    <n v="0"/>
    <n v="0"/>
    <n v="0"/>
    <n v="0"/>
    <n v="0"/>
    <n v="0"/>
    <n v="0"/>
    <n v="0"/>
    <s v="VAR"/>
    <n v="31.038524999999993"/>
    <n v="0"/>
    <n v="0"/>
    <s v="SO"/>
  </r>
  <r>
    <x v="0"/>
    <s v="05"/>
    <s v="UKTMP-05"/>
    <x v="6"/>
    <n v="600"/>
    <x v="4"/>
    <x v="4"/>
    <x v="1"/>
    <x v="0"/>
    <n v="1210"/>
    <n v="600"/>
    <n v="726"/>
    <n v="31.499999999999993"/>
    <n v="34.65"/>
    <s v="Marché 1"/>
    <n v="393.74999999999989"/>
    <n v="259.875"/>
    <s v="SO"/>
    <n v="0"/>
    <n v="0"/>
    <s v="Marché 1"/>
    <n v="0"/>
    <n v="0"/>
    <s v="SO"/>
    <n v="0"/>
    <n v="0"/>
    <s v="Marché 1"/>
    <n v="0"/>
    <n v="0"/>
    <n v="31.499999999999993"/>
    <n v="34.65"/>
    <n v="66.149999999999991"/>
    <n v="0"/>
    <n v="0"/>
    <n v="31.499999999999993"/>
    <n v="34.65"/>
    <x v="18"/>
    <n v="0"/>
    <n v="0"/>
    <n v="0"/>
    <s v="SO"/>
    <n v="0"/>
    <n v="0"/>
    <n v="0"/>
    <n v="0"/>
    <n v="0"/>
    <n v="0"/>
    <n v="0"/>
    <n v="0"/>
    <n v="0"/>
    <s v="VAR"/>
    <n v="62.077049999999986"/>
    <n v="0"/>
    <n v="0"/>
    <s v="SO"/>
  </r>
  <r>
    <x v="0"/>
    <s v="05"/>
    <s v="UKTMP-05"/>
    <x v="7"/>
    <n v="800"/>
    <x v="4"/>
    <x v="4"/>
    <x v="1"/>
    <x v="0"/>
    <n v="1210"/>
    <n v="800"/>
    <n v="968"/>
    <n v="41.999999999999993"/>
    <n v="46.199999999999996"/>
    <s v="Marché 1"/>
    <n v="524.99999999999989"/>
    <n v="346.49999999999994"/>
    <s v="SO"/>
    <n v="0"/>
    <n v="0"/>
    <s v="Marché 1"/>
    <n v="0"/>
    <n v="0"/>
    <s v="SO"/>
    <n v="0"/>
    <n v="0"/>
    <s v="Marché 1"/>
    <n v="0"/>
    <n v="0"/>
    <n v="41.999999999999993"/>
    <n v="46.199999999999996"/>
    <n v="88.199999999999989"/>
    <n v="0"/>
    <n v="0"/>
    <n v="41.999999999999993"/>
    <n v="46.199999999999996"/>
    <x v="19"/>
    <n v="0"/>
    <n v="0"/>
    <n v="0"/>
    <s v="SO"/>
    <n v="0"/>
    <n v="0"/>
    <n v="0"/>
    <n v="0"/>
    <n v="0"/>
    <n v="0"/>
    <n v="0"/>
    <n v="0"/>
    <n v="0"/>
    <s v="VAR"/>
    <n v="82.76939999999999"/>
    <n v="0"/>
    <n v="0"/>
    <s v="SO"/>
  </r>
  <r>
    <x v="0"/>
    <s v="05"/>
    <s v="UKTMP-05"/>
    <x v="8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s v="SO"/>
    <n v="0"/>
    <n v="0"/>
    <s v="Marché 1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x v="20"/>
    <n v="0"/>
    <n v="0"/>
    <n v="0"/>
    <s v="SO"/>
    <n v="0"/>
    <n v="0"/>
    <n v="0"/>
    <n v="0"/>
    <n v="0"/>
    <n v="0"/>
    <n v="0"/>
    <n v="0"/>
    <n v="0"/>
    <s v="VAR"/>
    <n v="113.807925"/>
    <n v="0"/>
    <n v="0"/>
    <s v="SO"/>
  </r>
  <r>
    <x v="0"/>
    <s v="05"/>
    <s v="UKTMP-05"/>
    <x v="9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s v="SO"/>
    <n v="0"/>
    <n v="0"/>
    <s v="Marché 1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x v="20"/>
    <n v="0"/>
    <n v="0"/>
    <n v="0"/>
    <s v="SO"/>
    <n v="0"/>
    <n v="0"/>
    <n v="0"/>
    <n v="0"/>
    <n v="0"/>
    <n v="0"/>
    <n v="0"/>
    <n v="0"/>
    <n v="0"/>
    <s v="VAR"/>
    <n v="113.807925"/>
    <n v="0"/>
    <n v="0"/>
    <s v="SO"/>
  </r>
  <r>
    <x v="0"/>
    <s v="05"/>
    <s v="UKTMP-05"/>
    <x v="10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s v="SO"/>
    <n v="0"/>
    <n v="0"/>
    <s v="Marché 1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x v="20"/>
    <n v="0"/>
    <n v="0"/>
    <n v="0"/>
    <s v="SO"/>
    <n v="0"/>
    <n v="0"/>
    <n v="0"/>
    <n v="0"/>
    <n v="0"/>
    <n v="0"/>
    <n v="0"/>
    <n v="0"/>
    <n v="0"/>
    <s v="VAR"/>
    <n v="113.807925"/>
    <n v="0"/>
    <n v="0"/>
    <s v="SO"/>
  </r>
  <r>
    <x v="0"/>
    <s v="05"/>
    <s v="UKTMP-05"/>
    <x v="11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s v="SO"/>
    <n v="0"/>
    <n v="0"/>
    <s v="Marché 1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x v="20"/>
    <n v="0"/>
    <n v="0"/>
    <n v="0"/>
    <s v="SO"/>
    <n v="0"/>
    <n v="0"/>
    <n v="0"/>
    <n v="0"/>
    <n v="0"/>
    <n v="0"/>
    <n v="0"/>
    <n v="0"/>
    <n v="0"/>
    <s v="VAR"/>
    <n v="113.807925"/>
    <n v="0"/>
    <n v="0"/>
    <s v="SO"/>
  </r>
  <r>
    <x v="0"/>
    <s v="05"/>
    <s v="UKTMP-05"/>
    <x v="12"/>
    <n v="1100"/>
    <x v="4"/>
    <x v="4"/>
    <x v="1"/>
    <x v="0"/>
    <n v="1210"/>
    <n v="1100"/>
    <n v="1331"/>
    <n v="57.749999999999993"/>
    <n v="63.524999999999999"/>
    <s v="Marché 1"/>
    <n v="721.87499999999989"/>
    <n v="476.4375"/>
    <s v="SO"/>
    <n v="0"/>
    <n v="0"/>
    <s v="Marché 1"/>
    <n v="0"/>
    <n v="0"/>
    <s v="SO"/>
    <n v="0"/>
    <n v="0"/>
    <s v="Marché 1"/>
    <n v="0"/>
    <n v="0"/>
    <n v="57.749999999999993"/>
    <n v="63.524999999999999"/>
    <n v="121.27499999999999"/>
    <n v="0"/>
    <n v="0"/>
    <n v="57.749999999999993"/>
    <n v="63.524999999999999"/>
    <x v="20"/>
    <n v="0"/>
    <n v="0"/>
    <n v="0"/>
    <s v="SO"/>
    <n v="0"/>
    <n v="0"/>
    <n v="0"/>
    <n v="0"/>
    <n v="0"/>
    <n v="0"/>
    <n v="0"/>
    <n v="0"/>
    <n v="0"/>
    <s v="VAR"/>
    <n v="113.807925"/>
    <n v="0"/>
    <n v="0"/>
    <s v="SO"/>
  </r>
  <r>
    <x v="0"/>
    <s v="06"/>
    <s v="UKTMP-06"/>
    <x v="0"/>
    <n v="0"/>
    <x v="5"/>
    <x v="5"/>
    <x v="2"/>
    <x v="0"/>
    <n v="1411"/>
    <n v="0"/>
    <n v="0"/>
    <n v="0"/>
    <n v="0"/>
    <s v="Marché 1"/>
    <n v="0"/>
    <n v="0"/>
    <s v="BA pour UKAD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6"/>
    <s v="UKTMP-06"/>
    <x v="1"/>
    <n v="0"/>
    <x v="5"/>
    <x v="5"/>
    <x v="2"/>
    <x v="0"/>
    <n v="1411"/>
    <n v="0"/>
    <n v="0"/>
    <n v="0"/>
    <n v="0"/>
    <s v="Marché 1"/>
    <n v="0"/>
    <n v="0"/>
    <s v="BA pour UKAD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6"/>
    <s v="UKTMP-06"/>
    <x v="2"/>
    <n v="100"/>
    <x v="5"/>
    <x v="5"/>
    <x v="2"/>
    <x v="0"/>
    <n v="1411"/>
    <n v="100"/>
    <n v="141.1"/>
    <n v="5.25"/>
    <n v="0"/>
    <s v="Marché 1"/>
    <n v="65.625"/>
    <n v="0"/>
    <s v="BA pour UKAD"/>
    <n v="5.625"/>
    <n v="0"/>
    <s v="Marché 1"/>
    <n v="70.3125"/>
    <n v="0"/>
    <s v="SO"/>
    <n v="0"/>
    <n v="0"/>
    <s v="Marché 1"/>
    <n v="0"/>
    <n v="0"/>
    <n v="10.875"/>
    <n v="0"/>
    <n v="5.25"/>
    <n v="5.625"/>
    <n v="0"/>
    <n v="10.875"/>
    <n v="0"/>
    <x v="21"/>
    <n v="0"/>
    <n v="0"/>
    <n v="0"/>
    <s v="SO"/>
    <n v="0"/>
    <n v="0"/>
    <n v="0"/>
    <n v="0"/>
    <n v="0"/>
    <n v="0"/>
    <n v="0"/>
    <n v="0"/>
    <n v="0"/>
    <s v="VAR"/>
    <n v="5.3970000000000002"/>
    <n v="0"/>
    <n v="0"/>
    <s v="SO"/>
  </r>
  <r>
    <x v="0"/>
    <s v="06"/>
    <s v="UKTMP-06"/>
    <x v="3"/>
    <n v="200"/>
    <x v="5"/>
    <x v="5"/>
    <x v="2"/>
    <x v="0"/>
    <n v="1411"/>
    <n v="200"/>
    <n v="282.2"/>
    <n v="10.5"/>
    <n v="0"/>
    <s v="Marché 1"/>
    <n v="131.25"/>
    <n v="0"/>
    <s v="BA pour UKAD"/>
    <n v="11.25"/>
    <n v="0"/>
    <s v="Marché 1"/>
    <n v="140.625"/>
    <n v="0"/>
    <s v="SO"/>
    <n v="0"/>
    <n v="0"/>
    <s v="Marché 1"/>
    <n v="0"/>
    <n v="0"/>
    <n v="21.75"/>
    <n v="0"/>
    <n v="10.5"/>
    <n v="11.25"/>
    <n v="0"/>
    <n v="21.75"/>
    <n v="0"/>
    <x v="22"/>
    <n v="0"/>
    <n v="0"/>
    <n v="0"/>
    <s v="SO"/>
    <n v="0"/>
    <n v="0"/>
    <n v="0"/>
    <n v="0"/>
    <n v="0"/>
    <n v="0"/>
    <n v="0"/>
    <n v="0"/>
    <n v="0"/>
    <s v="VAR"/>
    <n v="10.794"/>
    <n v="0"/>
    <n v="0"/>
    <s v="SO"/>
  </r>
  <r>
    <x v="0"/>
    <s v="06"/>
    <s v="UKTMP-06"/>
    <x v="4"/>
    <n v="200"/>
    <x v="5"/>
    <x v="5"/>
    <x v="2"/>
    <x v="0"/>
    <n v="1411"/>
    <n v="200"/>
    <n v="282.2"/>
    <n v="10.5"/>
    <n v="0"/>
    <s v="Marché 1"/>
    <n v="131.25"/>
    <n v="0"/>
    <s v="BA pour UKAD"/>
    <n v="11.25"/>
    <n v="0"/>
    <s v="Marché 1"/>
    <n v="140.625"/>
    <n v="0"/>
    <s v="SO"/>
    <n v="0"/>
    <n v="0"/>
    <s v="Marché 1"/>
    <n v="0"/>
    <n v="0"/>
    <n v="21.75"/>
    <n v="0"/>
    <n v="10.5"/>
    <n v="11.25"/>
    <n v="0"/>
    <n v="21.75"/>
    <n v="0"/>
    <x v="22"/>
    <n v="0"/>
    <n v="0"/>
    <n v="0"/>
    <s v="SO"/>
    <n v="0"/>
    <n v="0"/>
    <n v="0"/>
    <n v="0"/>
    <n v="0"/>
    <n v="0"/>
    <n v="0"/>
    <n v="0"/>
    <n v="0"/>
    <s v="VAR"/>
    <n v="10.794"/>
    <n v="0"/>
    <n v="0"/>
    <s v="SO"/>
  </r>
  <r>
    <x v="0"/>
    <s v="06"/>
    <s v="UKTMP-06"/>
    <x v="5"/>
    <n v="200"/>
    <x v="5"/>
    <x v="5"/>
    <x v="2"/>
    <x v="0"/>
    <n v="1411"/>
    <n v="200"/>
    <n v="282.2"/>
    <n v="10.5"/>
    <n v="0"/>
    <s v="Marché 1"/>
    <n v="131.25"/>
    <n v="0"/>
    <s v="BA pour UKAD"/>
    <n v="11.25"/>
    <n v="0"/>
    <s v="Marché 1"/>
    <n v="140.625"/>
    <n v="0"/>
    <s v="SO"/>
    <n v="0"/>
    <n v="0"/>
    <s v="Marché 1"/>
    <n v="0"/>
    <n v="0"/>
    <n v="21.75"/>
    <n v="0"/>
    <n v="10.5"/>
    <n v="11.25"/>
    <n v="0"/>
    <n v="21.75"/>
    <n v="0"/>
    <x v="22"/>
    <n v="0"/>
    <n v="0"/>
    <n v="0"/>
    <s v="SO"/>
    <n v="0"/>
    <n v="0"/>
    <n v="0"/>
    <n v="0"/>
    <n v="0"/>
    <n v="0"/>
    <n v="0"/>
    <n v="0"/>
    <n v="0"/>
    <s v="VAR"/>
    <n v="10.794"/>
    <n v="0"/>
    <n v="0"/>
    <s v="SO"/>
  </r>
  <r>
    <x v="0"/>
    <s v="06"/>
    <s v="UKTMP-06"/>
    <x v="6"/>
    <n v="200"/>
    <x v="5"/>
    <x v="5"/>
    <x v="2"/>
    <x v="0"/>
    <n v="1411"/>
    <n v="200"/>
    <n v="282.2"/>
    <n v="10.5"/>
    <n v="0"/>
    <s v="Marché 1"/>
    <n v="131.25"/>
    <n v="0"/>
    <s v="BA pour UKAD"/>
    <n v="11.25"/>
    <n v="0"/>
    <s v="Marché 1"/>
    <n v="140.625"/>
    <n v="0"/>
    <s v="SO"/>
    <n v="0"/>
    <n v="0"/>
    <s v="Marché 1"/>
    <n v="0"/>
    <n v="0"/>
    <n v="21.75"/>
    <n v="0"/>
    <n v="10.5"/>
    <n v="11.25"/>
    <n v="0"/>
    <n v="21.75"/>
    <n v="0"/>
    <x v="22"/>
    <n v="0"/>
    <n v="0"/>
    <n v="0"/>
    <s v="SO"/>
    <n v="0"/>
    <n v="0"/>
    <n v="0"/>
    <n v="0"/>
    <n v="0"/>
    <n v="0"/>
    <n v="0"/>
    <n v="0"/>
    <n v="0"/>
    <s v="VAR"/>
    <n v="10.794"/>
    <n v="0"/>
    <n v="0"/>
    <s v="SO"/>
  </r>
  <r>
    <x v="0"/>
    <s v="06"/>
    <s v="UKTMP-06"/>
    <x v="7"/>
    <n v="200"/>
    <x v="5"/>
    <x v="5"/>
    <x v="2"/>
    <x v="0"/>
    <n v="1411"/>
    <n v="200"/>
    <n v="282.2"/>
    <n v="10.5"/>
    <n v="0"/>
    <s v="Marché 1"/>
    <n v="131.25"/>
    <n v="0"/>
    <s v="BA pour UKAD"/>
    <n v="11.25"/>
    <n v="0"/>
    <s v="Marché 1"/>
    <n v="140.625"/>
    <n v="0"/>
    <s v="SO"/>
    <n v="0"/>
    <n v="0"/>
    <s v="Marché 1"/>
    <n v="0"/>
    <n v="0"/>
    <n v="21.75"/>
    <n v="0"/>
    <n v="10.5"/>
    <n v="11.25"/>
    <n v="0"/>
    <n v="21.75"/>
    <n v="0"/>
    <x v="22"/>
    <n v="0"/>
    <n v="0"/>
    <n v="0"/>
    <s v="SO"/>
    <n v="0"/>
    <n v="0"/>
    <n v="0"/>
    <n v="0"/>
    <n v="0"/>
    <n v="0"/>
    <n v="0"/>
    <n v="0"/>
    <n v="0"/>
    <s v="VAR"/>
    <n v="10.794"/>
    <n v="0"/>
    <n v="0"/>
    <s v="SO"/>
  </r>
  <r>
    <x v="0"/>
    <s v="06"/>
    <s v="UKTMP-06"/>
    <x v="8"/>
    <n v="200"/>
    <x v="5"/>
    <x v="5"/>
    <x v="2"/>
    <x v="0"/>
    <n v="1411"/>
    <n v="200"/>
    <n v="282.2"/>
    <n v="10.5"/>
    <n v="0"/>
    <s v="Marché 1"/>
    <n v="131.25"/>
    <n v="0"/>
    <s v="BA pour UKAD"/>
    <n v="11.25"/>
    <n v="0"/>
    <s v="Marché 1"/>
    <n v="140.625"/>
    <n v="0"/>
    <s v="SO"/>
    <n v="0"/>
    <n v="0"/>
    <s v="Marché 1"/>
    <n v="0"/>
    <n v="0"/>
    <n v="21.75"/>
    <n v="0"/>
    <n v="10.5"/>
    <n v="11.25"/>
    <n v="0"/>
    <n v="21.75"/>
    <n v="0"/>
    <x v="22"/>
    <n v="0"/>
    <n v="0"/>
    <n v="0"/>
    <s v="SO"/>
    <n v="0"/>
    <n v="0"/>
    <n v="0"/>
    <n v="0"/>
    <n v="0"/>
    <n v="0"/>
    <n v="0"/>
    <n v="0"/>
    <n v="0"/>
    <s v="VAR"/>
    <n v="10.794"/>
    <n v="0"/>
    <n v="0"/>
    <s v="SO"/>
  </r>
  <r>
    <x v="0"/>
    <s v="06"/>
    <s v="UKTMP-06"/>
    <x v="9"/>
    <n v="200"/>
    <x v="5"/>
    <x v="5"/>
    <x v="2"/>
    <x v="0"/>
    <n v="1411"/>
    <n v="200"/>
    <n v="282.2"/>
    <n v="10.5"/>
    <n v="0"/>
    <s v="Marché 1"/>
    <n v="131.25"/>
    <n v="0"/>
    <s v="BA pour UKAD"/>
    <n v="11.25"/>
    <n v="0"/>
    <s v="Marché 1"/>
    <n v="140.625"/>
    <n v="0"/>
    <s v="SO"/>
    <n v="0"/>
    <n v="0"/>
    <s v="Marché 1"/>
    <n v="0"/>
    <n v="0"/>
    <n v="21.75"/>
    <n v="0"/>
    <n v="10.5"/>
    <n v="11.25"/>
    <n v="0"/>
    <n v="21.75"/>
    <n v="0"/>
    <x v="22"/>
    <n v="0"/>
    <n v="0"/>
    <n v="0"/>
    <s v="SO"/>
    <n v="0"/>
    <n v="0"/>
    <n v="0"/>
    <n v="0"/>
    <n v="0"/>
    <n v="0"/>
    <n v="0"/>
    <n v="0"/>
    <n v="0"/>
    <s v="VAR"/>
    <n v="10.794"/>
    <n v="0"/>
    <n v="0"/>
    <s v="SO"/>
  </r>
  <r>
    <x v="0"/>
    <s v="06"/>
    <s v="UKTMP-06"/>
    <x v="10"/>
    <n v="200"/>
    <x v="5"/>
    <x v="5"/>
    <x v="2"/>
    <x v="0"/>
    <n v="1411"/>
    <n v="200"/>
    <n v="282.2"/>
    <n v="10.5"/>
    <n v="0"/>
    <s v="Marché 1"/>
    <n v="131.25"/>
    <n v="0"/>
    <s v="BA pour UKAD"/>
    <n v="11.25"/>
    <n v="0"/>
    <s v="Marché 1"/>
    <n v="140.625"/>
    <n v="0"/>
    <s v="SO"/>
    <n v="0"/>
    <n v="0"/>
    <s v="Marché 1"/>
    <n v="0"/>
    <n v="0"/>
    <n v="21.75"/>
    <n v="0"/>
    <n v="10.5"/>
    <n v="11.25"/>
    <n v="0"/>
    <n v="21.75"/>
    <n v="0"/>
    <x v="22"/>
    <n v="0"/>
    <n v="0"/>
    <n v="0"/>
    <s v="SO"/>
    <n v="0"/>
    <n v="0"/>
    <n v="0"/>
    <n v="0"/>
    <n v="0"/>
    <n v="0"/>
    <n v="0"/>
    <n v="0"/>
    <n v="0"/>
    <s v="VAR"/>
    <n v="10.794"/>
    <n v="0"/>
    <n v="0"/>
    <s v="SO"/>
  </r>
  <r>
    <x v="0"/>
    <s v="06"/>
    <s v="UKTMP-06"/>
    <x v="11"/>
    <n v="200"/>
    <x v="5"/>
    <x v="5"/>
    <x v="2"/>
    <x v="0"/>
    <n v="1411"/>
    <n v="200"/>
    <n v="282.2"/>
    <n v="10.5"/>
    <n v="0"/>
    <s v="Marché 1"/>
    <n v="131.25"/>
    <n v="0"/>
    <s v="BA pour UKAD"/>
    <n v="11.25"/>
    <n v="0"/>
    <s v="Marché 1"/>
    <n v="140.625"/>
    <n v="0"/>
    <s v="SO"/>
    <n v="0"/>
    <n v="0"/>
    <s v="Marché 1"/>
    <n v="0"/>
    <n v="0"/>
    <n v="21.75"/>
    <n v="0"/>
    <n v="10.5"/>
    <n v="11.25"/>
    <n v="0"/>
    <n v="21.75"/>
    <n v="0"/>
    <x v="22"/>
    <n v="0"/>
    <n v="0"/>
    <n v="0"/>
    <s v="SO"/>
    <n v="0"/>
    <n v="0"/>
    <n v="0"/>
    <n v="0"/>
    <n v="0"/>
    <n v="0"/>
    <n v="0"/>
    <n v="0"/>
    <n v="0"/>
    <s v="VAR"/>
    <n v="10.794"/>
    <n v="0"/>
    <n v="0"/>
    <s v="SO"/>
  </r>
  <r>
    <x v="0"/>
    <s v="06"/>
    <s v="UKTMP-06"/>
    <x v="12"/>
    <n v="200"/>
    <x v="5"/>
    <x v="5"/>
    <x v="2"/>
    <x v="0"/>
    <n v="1411"/>
    <n v="200"/>
    <n v="282.2"/>
    <n v="10.5"/>
    <n v="0"/>
    <s v="Marché 1"/>
    <n v="131.25"/>
    <n v="0"/>
    <s v="BA pour UKAD"/>
    <n v="11.25"/>
    <n v="0"/>
    <s v="Marché 1"/>
    <n v="140.625"/>
    <n v="0"/>
    <s v="SO"/>
    <n v="0"/>
    <n v="0"/>
    <s v="Marché 1"/>
    <n v="0"/>
    <n v="0"/>
    <n v="21.75"/>
    <n v="0"/>
    <n v="10.5"/>
    <n v="11.25"/>
    <n v="0"/>
    <n v="21.75"/>
    <n v="0"/>
    <x v="22"/>
    <n v="0"/>
    <n v="0"/>
    <n v="0"/>
    <s v="SO"/>
    <n v="0"/>
    <n v="0"/>
    <n v="0"/>
    <n v="0"/>
    <n v="0"/>
    <n v="0"/>
    <n v="0"/>
    <n v="0"/>
    <n v="0"/>
    <s v="VAR"/>
    <n v="10.794"/>
    <n v="0"/>
    <n v="0"/>
    <s v="SO"/>
  </r>
  <r>
    <x v="0"/>
    <s v="07"/>
    <s v="UKTMP-07"/>
    <x v="0"/>
    <n v="10"/>
    <x v="6"/>
    <x v="6"/>
    <x v="2"/>
    <x v="1"/>
    <n v="1411"/>
    <n v="10"/>
    <n v="14.11"/>
    <n v="0.52500000000000002"/>
    <n v="0"/>
    <s v="Marché 1"/>
    <n v="6.5625"/>
    <n v="0"/>
    <s v="BA pour UKAD"/>
    <n v="0.5625"/>
    <n v="0"/>
    <s v="Marché 1"/>
    <n v="7.03125"/>
    <n v="0"/>
    <s v="SO"/>
    <n v="0"/>
    <n v="0"/>
    <s v="Marché 1"/>
    <n v="0"/>
    <n v="0"/>
    <n v="1.0874999999999999"/>
    <n v="0"/>
    <n v="0.52500000000000002"/>
    <n v="0.5625"/>
    <n v="0"/>
    <n v="1.0874999999999999"/>
    <n v="0"/>
    <x v="23"/>
    <n v="0"/>
    <n v="0"/>
    <n v="0"/>
    <s v="SO"/>
    <n v="0"/>
    <n v="0"/>
    <n v="0"/>
    <n v="0"/>
    <n v="0"/>
    <n v="0"/>
    <n v="0"/>
    <n v="0"/>
    <n v="0"/>
    <s v="VAR"/>
    <n v="0.53970000000000007"/>
    <n v="0"/>
    <n v="0"/>
    <s v="SO"/>
  </r>
  <r>
    <x v="0"/>
    <s v="07"/>
    <s v="UKTMP-07"/>
    <x v="1"/>
    <n v="20"/>
    <x v="6"/>
    <x v="6"/>
    <x v="2"/>
    <x v="1"/>
    <n v="1411"/>
    <n v="20"/>
    <n v="28.22"/>
    <n v="1.05"/>
    <n v="0"/>
    <s v="Marché 1"/>
    <n v="13.125"/>
    <n v="0"/>
    <s v="BA pour UKAD"/>
    <n v="1.125"/>
    <n v="0"/>
    <s v="Marché 1"/>
    <n v="14.0625"/>
    <n v="0"/>
    <s v="SO"/>
    <n v="0"/>
    <n v="0"/>
    <s v="Marché 1"/>
    <n v="0"/>
    <n v="0"/>
    <n v="2.1749999999999998"/>
    <n v="0"/>
    <n v="1.05"/>
    <n v="1.125"/>
    <n v="0"/>
    <n v="2.1749999999999998"/>
    <n v="0"/>
    <x v="24"/>
    <n v="0"/>
    <n v="0"/>
    <n v="0"/>
    <s v="SO"/>
    <n v="0"/>
    <n v="0"/>
    <n v="0"/>
    <n v="0"/>
    <n v="0"/>
    <n v="0"/>
    <n v="0"/>
    <n v="0"/>
    <n v="0"/>
    <s v="VAR"/>
    <n v="1.0794000000000001"/>
    <n v="0"/>
    <n v="0"/>
    <s v="SO"/>
  </r>
  <r>
    <x v="0"/>
    <s v="07"/>
    <s v="UKTMP-07"/>
    <x v="2"/>
    <n v="50"/>
    <x v="6"/>
    <x v="6"/>
    <x v="2"/>
    <x v="1"/>
    <n v="1411"/>
    <n v="50"/>
    <n v="70.55"/>
    <n v="2.625"/>
    <n v="0"/>
    <s v="Marché 1"/>
    <n v="32.8125"/>
    <n v="0"/>
    <s v="BA pour UKAD"/>
    <n v="2.8125"/>
    <n v="0"/>
    <s v="Marché 1"/>
    <n v="35.15625"/>
    <n v="0"/>
    <s v="SO"/>
    <n v="0"/>
    <n v="0"/>
    <s v="Marché 1"/>
    <n v="0"/>
    <n v="0"/>
    <n v="5.4375"/>
    <n v="0"/>
    <n v="2.625"/>
    <n v="2.8125"/>
    <n v="0"/>
    <n v="5.4375"/>
    <n v="0"/>
    <x v="25"/>
    <n v="0"/>
    <n v="0"/>
    <n v="0"/>
    <s v="SO"/>
    <n v="0"/>
    <n v="0"/>
    <n v="0"/>
    <n v="0"/>
    <n v="0"/>
    <n v="0"/>
    <n v="0"/>
    <n v="0"/>
    <n v="0"/>
    <s v="VAR"/>
    <n v="2.6985000000000001"/>
    <n v="0"/>
    <n v="0"/>
    <s v="SO"/>
  </r>
  <r>
    <x v="0"/>
    <s v="07"/>
    <s v="UKTMP-07"/>
    <x v="3"/>
    <n v="50"/>
    <x v="6"/>
    <x v="6"/>
    <x v="2"/>
    <x v="1"/>
    <n v="1411"/>
    <n v="50"/>
    <n v="70.55"/>
    <n v="2.625"/>
    <n v="0"/>
    <s v="Marché 1"/>
    <n v="32.8125"/>
    <n v="0"/>
    <s v="BA pour UKAD"/>
    <n v="2.8125"/>
    <n v="0"/>
    <s v="Marché 1"/>
    <n v="35.15625"/>
    <n v="0"/>
    <s v="SO"/>
    <n v="0"/>
    <n v="0"/>
    <s v="Marché 1"/>
    <n v="0"/>
    <n v="0"/>
    <n v="5.4375"/>
    <n v="0"/>
    <n v="2.625"/>
    <n v="2.8125"/>
    <n v="0"/>
    <n v="5.4375"/>
    <n v="0"/>
    <x v="25"/>
    <n v="0"/>
    <n v="0"/>
    <n v="0"/>
    <s v="SO"/>
    <n v="0"/>
    <n v="0"/>
    <n v="0"/>
    <n v="0"/>
    <n v="0"/>
    <n v="0"/>
    <n v="0"/>
    <n v="0"/>
    <n v="0"/>
    <s v="VAR"/>
    <n v="2.6985000000000001"/>
    <n v="0"/>
    <n v="0"/>
    <s v="SO"/>
  </r>
  <r>
    <x v="0"/>
    <s v="07"/>
    <s v="UKTMP-07"/>
    <x v="4"/>
    <n v="70"/>
    <x v="6"/>
    <x v="6"/>
    <x v="2"/>
    <x v="1"/>
    <n v="1411"/>
    <n v="70"/>
    <n v="98.77"/>
    <n v="3.6749999999999998"/>
    <n v="0"/>
    <s v="Marché 1"/>
    <n v="45.9375"/>
    <n v="0"/>
    <s v="BA pour UKAD"/>
    <n v="3.9375"/>
    <n v="0"/>
    <s v="Marché 1"/>
    <n v="49.21875"/>
    <n v="0"/>
    <s v="SO"/>
    <n v="0"/>
    <n v="0"/>
    <s v="Marché 1"/>
    <n v="0"/>
    <n v="0"/>
    <n v="7.6124999999999998"/>
    <n v="0"/>
    <n v="3.6749999999999998"/>
    <n v="3.9375"/>
    <n v="0"/>
    <n v="7.6124999999999998"/>
    <n v="0"/>
    <x v="26"/>
    <n v="0"/>
    <n v="0"/>
    <n v="0"/>
    <s v="SO"/>
    <n v="0"/>
    <n v="0"/>
    <n v="0"/>
    <n v="0"/>
    <n v="0"/>
    <n v="0"/>
    <n v="0"/>
    <n v="0"/>
    <n v="0"/>
    <s v="VAR"/>
    <n v="3.7778999999999998"/>
    <n v="0"/>
    <n v="0"/>
    <s v="SO"/>
  </r>
  <r>
    <x v="0"/>
    <s v="07"/>
    <s v="UKTMP-07"/>
    <x v="5"/>
    <n v="100"/>
    <x v="6"/>
    <x v="6"/>
    <x v="2"/>
    <x v="1"/>
    <n v="1411"/>
    <n v="100"/>
    <n v="141.1"/>
    <n v="5.25"/>
    <n v="0"/>
    <s v="Marché 1"/>
    <n v="65.625"/>
    <n v="0"/>
    <s v="BA pour UKAD"/>
    <n v="5.625"/>
    <n v="0"/>
    <s v="Marché 1"/>
    <n v="70.3125"/>
    <n v="0"/>
    <s v="SO"/>
    <n v="0"/>
    <n v="0"/>
    <s v="Marché 1"/>
    <n v="0"/>
    <n v="0"/>
    <n v="10.875"/>
    <n v="0"/>
    <n v="5.25"/>
    <n v="5.625"/>
    <n v="0"/>
    <n v="10.875"/>
    <n v="0"/>
    <x v="21"/>
    <n v="0"/>
    <n v="0"/>
    <n v="0"/>
    <s v="SO"/>
    <n v="0"/>
    <n v="0"/>
    <n v="0"/>
    <n v="0"/>
    <n v="0"/>
    <n v="0"/>
    <n v="0"/>
    <n v="0"/>
    <n v="0"/>
    <s v="VAR"/>
    <n v="5.3970000000000002"/>
    <n v="0"/>
    <n v="0"/>
    <s v="SO"/>
  </r>
  <r>
    <x v="0"/>
    <s v="07"/>
    <s v="UKTMP-07"/>
    <x v="6"/>
    <n v="100"/>
    <x v="6"/>
    <x v="6"/>
    <x v="2"/>
    <x v="1"/>
    <n v="1411"/>
    <n v="100"/>
    <n v="141.1"/>
    <n v="5.25"/>
    <n v="0"/>
    <s v="Marché 1"/>
    <n v="65.625"/>
    <n v="0"/>
    <s v="BA pour UKAD"/>
    <n v="5.625"/>
    <n v="0"/>
    <s v="Marché 1"/>
    <n v="70.3125"/>
    <n v="0"/>
    <s v="SO"/>
    <n v="0"/>
    <n v="0"/>
    <s v="Marché 1"/>
    <n v="0"/>
    <n v="0"/>
    <n v="10.875"/>
    <n v="0"/>
    <n v="5.25"/>
    <n v="5.625"/>
    <n v="0"/>
    <n v="10.875"/>
    <n v="0"/>
    <x v="21"/>
    <n v="0"/>
    <n v="0"/>
    <n v="0"/>
    <s v="SO"/>
    <n v="0"/>
    <n v="0"/>
    <n v="0"/>
    <n v="0"/>
    <n v="0"/>
    <n v="0"/>
    <n v="0"/>
    <n v="0"/>
    <n v="0"/>
    <s v="VAR"/>
    <n v="5.3970000000000002"/>
    <n v="0"/>
    <n v="0"/>
    <s v="SO"/>
  </r>
  <r>
    <x v="0"/>
    <s v="07"/>
    <s v="UKTMP-07"/>
    <x v="7"/>
    <n v="120"/>
    <x v="6"/>
    <x v="6"/>
    <x v="2"/>
    <x v="1"/>
    <n v="1411"/>
    <n v="120"/>
    <n v="169.32"/>
    <n v="6.3"/>
    <n v="0"/>
    <s v="Marché 1"/>
    <n v="78.75"/>
    <n v="0"/>
    <s v="BA pour UKAD"/>
    <n v="6.75"/>
    <n v="0"/>
    <s v="Marché 1"/>
    <n v="84.375"/>
    <n v="0"/>
    <s v="SO"/>
    <n v="0"/>
    <n v="0"/>
    <s v="Marché 1"/>
    <n v="0"/>
    <n v="0"/>
    <n v="13.05"/>
    <n v="0"/>
    <n v="6.3"/>
    <n v="6.75"/>
    <n v="0"/>
    <n v="13.05"/>
    <n v="0"/>
    <x v="27"/>
    <n v="0"/>
    <n v="0"/>
    <n v="0"/>
    <s v="SO"/>
    <n v="0"/>
    <n v="0"/>
    <n v="0"/>
    <n v="0"/>
    <n v="0"/>
    <n v="0"/>
    <n v="0"/>
    <n v="0"/>
    <n v="0"/>
    <s v="VAR"/>
    <n v="6.4763999999999999"/>
    <n v="0"/>
    <n v="0"/>
    <s v="SO"/>
  </r>
  <r>
    <x v="0"/>
    <s v="07"/>
    <s v="UKTMP-07"/>
    <x v="8"/>
    <n v="150"/>
    <x v="6"/>
    <x v="6"/>
    <x v="2"/>
    <x v="1"/>
    <n v="1411"/>
    <n v="150"/>
    <n v="211.65"/>
    <n v="7.875"/>
    <n v="0"/>
    <s v="Marché 1"/>
    <n v="98.4375"/>
    <n v="0"/>
    <s v="BA pour UKAD"/>
    <n v="8.4375"/>
    <n v="0"/>
    <s v="Marché 1"/>
    <n v="105.46875"/>
    <n v="0"/>
    <s v="SO"/>
    <n v="0"/>
    <n v="0"/>
    <s v="Marché 1"/>
    <n v="0"/>
    <n v="0"/>
    <n v="16.3125"/>
    <n v="0"/>
    <n v="7.875"/>
    <n v="8.4375"/>
    <n v="0"/>
    <n v="16.3125"/>
    <n v="0"/>
    <x v="28"/>
    <n v="0"/>
    <n v="0"/>
    <n v="0"/>
    <s v="SO"/>
    <n v="0"/>
    <n v="0"/>
    <n v="0"/>
    <n v="0"/>
    <n v="0"/>
    <n v="0"/>
    <n v="0"/>
    <n v="0"/>
    <n v="0"/>
    <s v="VAR"/>
    <n v="8.0954999999999995"/>
    <n v="0"/>
    <n v="0"/>
    <s v="SO"/>
  </r>
  <r>
    <x v="0"/>
    <s v="07"/>
    <s v="UKTMP-07"/>
    <x v="9"/>
    <n v="150"/>
    <x v="6"/>
    <x v="6"/>
    <x v="2"/>
    <x v="1"/>
    <n v="1411"/>
    <n v="150"/>
    <n v="211.65"/>
    <n v="7.875"/>
    <n v="0"/>
    <s v="Marché 1"/>
    <n v="98.4375"/>
    <n v="0"/>
    <s v="BA pour UKAD"/>
    <n v="8.4375"/>
    <n v="0"/>
    <s v="Marché 1"/>
    <n v="105.46875"/>
    <n v="0"/>
    <s v="SO"/>
    <n v="0"/>
    <n v="0"/>
    <s v="Marché 1"/>
    <n v="0"/>
    <n v="0"/>
    <n v="16.3125"/>
    <n v="0"/>
    <n v="7.875"/>
    <n v="8.4375"/>
    <n v="0"/>
    <n v="16.3125"/>
    <n v="0"/>
    <x v="28"/>
    <n v="0"/>
    <n v="0"/>
    <n v="0"/>
    <s v="SO"/>
    <n v="0"/>
    <n v="0"/>
    <n v="0"/>
    <n v="0"/>
    <n v="0"/>
    <n v="0"/>
    <n v="0"/>
    <n v="0"/>
    <n v="0"/>
    <s v="VAR"/>
    <n v="8.0954999999999995"/>
    <n v="0"/>
    <n v="0"/>
    <s v="SO"/>
  </r>
  <r>
    <x v="0"/>
    <s v="07"/>
    <s v="UKTMP-07"/>
    <x v="10"/>
    <n v="150"/>
    <x v="6"/>
    <x v="6"/>
    <x v="2"/>
    <x v="1"/>
    <n v="1411"/>
    <n v="150"/>
    <n v="211.65"/>
    <n v="7.875"/>
    <n v="0"/>
    <s v="Marché 1"/>
    <n v="98.4375"/>
    <n v="0"/>
    <s v="BA pour UKAD"/>
    <n v="8.4375"/>
    <n v="0"/>
    <s v="Marché 1"/>
    <n v="105.46875"/>
    <n v="0"/>
    <s v="SO"/>
    <n v="0"/>
    <n v="0"/>
    <s v="Marché 1"/>
    <n v="0"/>
    <n v="0"/>
    <n v="16.3125"/>
    <n v="0"/>
    <n v="7.875"/>
    <n v="8.4375"/>
    <n v="0"/>
    <n v="16.3125"/>
    <n v="0"/>
    <x v="28"/>
    <n v="0"/>
    <n v="0"/>
    <n v="0"/>
    <s v="SO"/>
    <n v="0"/>
    <n v="0"/>
    <n v="0"/>
    <n v="0"/>
    <n v="0"/>
    <n v="0"/>
    <n v="0"/>
    <n v="0"/>
    <n v="0"/>
    <s v="VAR"/>
    <n v="8.0954999999999995"/>
    <n v="0"/>
    <n v="0"/>
    <s v="SO"/>
  </r>
  <r>
    <x v="0"/>
    <s v="07"/>
    <s v="UKTMP-07"/>
    <x v="11"/>
    <n v="150"/>
    <x v="6"/>
    <x v="6"/>
    <x v="2"/>
    <x v="1"/>
    <n v="1411"/>
    <n v="150"/>
    <n v="211.65"/>
    <n v="7.875"/>
    <n v="0"/>
    <s v="Marché 1"/>
    <n v="98.4375"/>
    <n v="0"/>
    <s v="BA pour UKAD"/>
    <n v="8.4375"/>
    <n v="0"/>
    <s v="Marché 1"/>
    <n v="105.46875"/>
    <n v="0"/>
    <s v="SO"/>
    <n v="0"/>
    <n v="0"/>
    <s v="Marché 1"/>
    <n v="0"/>
    <n v="0"/>
    <n v="16.3125"/>
    <n v="0"/>
    <n v="7.875"/>
    <n v="8.4375"/>
    <n v="0"/>
    <n v="16.3125"/>
    <n v="0"/>
    <x v="28"/>
    <n v="0"/>
    <n v="0"/>
    <n v="0"/>
    <s v="SO"/>
    <n v="0"/>
    <n v="0"/>
    <n v="0"/>
    <n v="0"/>
    <n v="0"/>
    <n v="0"/>
    <n v="0"/>
    <n v="0"/>
    <n v="0"/>
    <s v="VAR"/>
    <n v="8.0954999999999995"/>
    <n v="0"/>
    <n v="0"/>
    <s v="SO"/>
  </r>
  <r>
    <x v="0"/>
    <s v="07"/>
    <s v="UKTMP-07"/>
    <x v="12"/>
    <n v="150"/>
    <x v="6"/>
    <x v="6"/>
    <x v="2"/>
    <x v="1"/>
    <n v="1411"/>
    <n v="150"/>
    <n v="211.65"/>
    <n v="7.875"/>
    <n v="0"/>
    <s v="Marché 1"/>
    <n v="98.4375"/>
    <n v="0"/>
    <s v="BA pour UKAD"/>
    <n v="8.4375"/>
    <n v="0"/>
    <s v="Marché 1"/>
    <n v="105.46875"/>
    <n v="0"/>
    <s v="SO"/>
    <n v="0"/>
    <n v="0"/>
    <s v="Marché 1"/>
    <n v="0"/>
    <n v="0"/>
    <n v="16.3125"/>
    <n v="0"/>
    <n v="7.875"/>
    <n v="8.4375"/>
    <n v="0"/>
    <n v="16.3125"/>
    <n v="0"/>
    <x v="28"/>
    <n v="0"/>
    <n v="0"/>
    <n v="0"/>
    <s v="SO"/>
    <n v="0"/>
    <n v="0"/>
    <n v="0"/>
    <n v="0"/>
    <n v="0"/>
    <n v="0"/>
    <n v="0"/>
    <n v="0"/>
    <n v="0"/>
    <s v="VAR"/>
    <n v="8.0954999999999995"/>
    <n v="0"/>
    <n v="0"/>
    <s v="SO"/>
  </r>
  <r>
    <x v="0"/>
    <s v="08"/>
    <s v="UKTMP-08"/>
    <x v="0"/>
    <n v="50"/>
    <x v="7"/>
    <x v="7"/>
    <x v="1"/>
    <x v="2"/>
    <n v="1210"/>
    <n v="50"/>
    <n v="60.5"/>
    <n v="2.6249999999999996"/>
    <n v="2.8874999999999997"/>
    <s v="Marché 1"/>
    <n v="32.812499999999993"/>
    <n v="21.656249999999996"/>
    <s v="SO"/>
    <n v="0"/>
    <n v="0"/>
    <s v="Marché 1"/>
    <n v="0"/>
    <n v="0"/>
    <s v="SO"/>
    <n v="0"/>
    <n v="0"/>
    <s v="Marché 1"/>
    <n v="0"/>
    <n v="0"/>
    <n v="2.6249999999999996"/>
    <n v="2.8874999999999997"/>
    <n v="5.5124999999999993"/>
    <n v="0"/>
    <n v="0"/>
    <n v="2.6249999999999996"/>
    <n v="2.8874999999999997"/>
    <x v="29"/>
    <n v="0"/>
    <n v="0"/>
    <n v="0"/>
    <s v="SO"/>
    <n v="0"/>
    <n v="0"/>
    <n v="0"/>
    <n v="0"/>
    <n v="0"/>
    <n v="0"/>
    <n v="0"/>
    <n v="0"/>
    <n v="0"/>
    <s v="Non Refondu"/>
    <n v="5.3240249999999989"/>
    <n v="0"/>
    <n v="0"/>
    <s v="SO"/>
  </r>
  <r>
    <x v="0"/>
    <s v="08"/>
    <s v="UKTMP-08"/>
    <x v="1"/>
    <n v="100"/>
    <x v="7"/>
    <x v="7"/>
    <x v="1"/>
    <x v="2"/>
    <n v="1210"/>
    <n v="100"/>
    <n v="121"/>
    <n v="5.2499999999999991"/>
    <n v="5.7749999999999995"/>
    <s v="Marché 1"/>
    <n v="65.624999999999986"/>
    <n v="43.312499999999993"/>
    <s v="SO"/>
    <n v="0"/>
    <n v="0"/>
    <s v="Marché 1"/>
    <n v="0"/>
    <n v="0"/>
    <s v="SO"/>
    <n v="0"/>
    <n v="0"/>
    <s v="Marché 1"/>
    <n v="0"/>
    <n v="0"/>
    <n v="5.2499999999999991"/>
    <n v="5.7749999999999995"/>
    <n v="11.024999999999999"/>
    <n v="0"/>
    <n v="0"/>
    <n v="5.2499999999999991"/>
    <n v="5.7749999999999995"/>
    <x v="30"/>
    <n v="0"/>
    <n v="0"/>
    <n v="0"/>
    <s v="SO"/>
    <n v="0"/>
    <n v="0"/>
    <n v="0"/>
    <n v="0"/>
    <n v="0"/>
    <n v="0"/>
    <n v="0"/>
    <n v="0"/>
    <n v="0"/>
    <s v="Non Refondu"/>
    <n v="10.648049999999998"/>
    <n v="0"/>
    <n v="0"/>
    <s v="SO"/>
  </r>
  <r>
    <x v="0"/>
    <s v="08"/>
    <s v="UKTMP-08"/>
    <x v="2"/>
    <n v="150"/>
    <x v="7"/>
    <x v="7"/>
    <x v="1"/>
    <x v="2"/>
    <n v="1210"/>
    <n v="150"/>
    <n v="181.5"/>
    <n v="7.8749999999999982"/>
    <n v="8.6624999999999996"/>
    <s v="Marché 1"/>
    <n v="98.437499999999972"/>
    <n v="64.96875"/>
    <s v="SO"/>
    <n v="0"/>
    <n v="0"/>
    <s v="Marché 1"/>
    <n v="0"/>
    <n v="0"/>
    <s v="SO"/>
    <n v="0"/>
    <n v="0"/>
    <s v="Marché 1"/>
    <n v="0"/>
    <n v="0"/>
    <n v="7.8749999999999982"/>
    <n v="8.6624999999999996"/>
    <n v="16.537499999999998"/>
    <n v="0"/>
    <n v="0"/>
    <n v="7.8749999999999982"/>
    <n v="8.6624999999999996"/>
    <x v="31"/>
    <n v="0"/>
    <n v="0"/>
    <n v="0"/>
    <s v="SO"/>
    <n v="0"/>
    <n v="0"/>
    <n v="0"/>
    <n v="0"/>
    <n v="0"/>
    <n v="0"/>
    <n v="0"/>
    <n v="0"/>
    <n v="0"/>
    <s v="Non Refondu"/>
    <n v="15.972074999999997"/>
    <n v="0"/>
    <n v="0"/>
    <s v="SO"/>
  </r>
  <r>
    <x v="0"/>
    <s v="08"/>
    <s v="UKTMP-08"/>
    <x v="3"/>
    <n v="200"/>
    <x v="7"/>
    <x v="7"/>
    <x v="1"/>
    <x v="2"/>
    <n v="1210"/>
    <n v="200"/>
    <n v="242"/>
    <n v="10.499999999999998"/>
    <n v="11.549999999999999"/>
    <s v="Marché 1"/>
    <n v="131.24999999999997"/>
    <n v="86.624999999999986"/>
    <s v="SO"/>
    <n v="0"/>
    <n v="0"/>
    <s v="Marché 1"/>
    <n v="0"/>
    <n v="0"/>
    <s v="SO"/>
    <n v="0"/>
    <n v="0"/>
    <s v="Marché 1"/>
    <n v="0"/>
    <n v="0"/>
    <n v="10.499999999999998"/>
    <n v="11.549999999999999"/>
    <n v="22.049999999999997"/>
    <n v="0"/>
    <n v="0"/>
    <n v="10.499999999999998"/>
    <n v="11.549999999999999"/>
    <x v="32"/>
    <n v="0"/>
    <n v="0"/>
    <n v="0"/>
    <s v="SO"/>
    <n v="0"/>
    <n v="0"/>
    <n v="0"/>
    <n v="0"/>
    <n v="0"/>
    <n v="0"/>
    <n v="0"/>
    <n v="0"/>
    <n v="0"/>
    <s v="Non Refondu"/>
    <n v="21.296099999999996"/>
    <n v="0"/>
    <n v="0"/>
    <s v="SO"/>
  </r>
  <r>
    <x v="0"/>
    <s v="08"/>
    <s v="UKTMP-08"/>
    <x v="4"/>
    <n v="250"/>
    <x v="7"/>
    <x v="7"/>
    <x v="1"/>
    <x v="2"/>
    <n v="1210"/>
    <n v="250"/>
    <n v="302.5"/>
    <n v="13.124999999999998"/>
    <n v="14.437499999999998"/>
    <s v="Marché 1"/>
    <n v="164.06249999999997"/>
    <n v="108.28124999999999"/>
    <s v="SO"/>
    <n v="0"/>
    <n v="0"/>
    <s v="Marché 1"/>
    <n v="0"/>
    <n v="0"/>
    <s v="SO"/>
    <n v="0"/>
    <n v="0"/>
    <s v="Marché 1"/>
    <n v="0"/>
    <n v="0"/>
    <n v="13.124999999999998"/>
    <n v="14.437499999999998"/>
    <n v="27.562499999999996"/>
    <n v="0"/>
    <n v="0"/>
    <n v="13.124999999999998"/>
    <n v="14.437499999999998"/>
    <x v="33"/>
    <n v="0"/>
    <n v="0"/>
    <n v="0"/>
    <s v="SO"/>
    <n v="0"/>
    <n v="0"/>
    <n v="0"/>
    <n v="0"/>
    <n v="0"/>
    <n v="0"/>
    <n v="0"/>
    <n v="0"/>
    <n v="0"/>
    <s v="Non Refondu"/>
    <n v="26.620124999999998"/>
    <n v="0"/>
    <n v="0"/>
    <s v="SO"/>
  </r>
  <r>
    <x v="0"/>
    <s v="08"/>
    <s v="UKTMP-08"/>
    <x v="5"/>
    <n v="300"/>
    <x v="7"/>
    <x v="7"/>
    <x v="1"/>
    <x v="2"/>
    <n v="1210"/>
    <n v="300"/>
    <n v="363"/>
    <n v="15.749999999999996"/>
    <n v="17.324999999999999"/>
    <s v="Marché 1"/>
    <n v="196.87499999999994"/>
    <n v="129.9375"/>
    <s v="SO"/>
    <n v="0"/>
    <n v="0"/>
    <s v="Marché 1"/>
    <n v="0"/>
    <n v="0"/>
    <s v="SO"/>
    <n v="0"/>
    <n v="0"/>
    <s v="Marché 1"/>
    <n v="0"/>
    <n v="0"/>
    <n v="15.749999999999996"/>
    <n v="17.324999999999999"/>
    <n v="33.074999999999996"/>
    <n v="0"/>
    <n v="0"/>
    <n v="15.749999999999996"/>
    <n v="17.324999999999999"/>
    <x v="34"/>
    <n v="0"/>
    <n v="0"/>
    <n v="0"/>
    <s v="SO"/>
    <n v="0"/>
    <n v="0"/>
    <n v="0"/>
    <n v="0"/>
    <n v="0"/>
    <n v="0"/>
    <n v="0"/>
    <n v="0"/>
    <n v="0"/>
    <s v="Non Refondu"/>
    <n v="31.944149999999993"/>
    <n v="0"/>
    <n v="0"/>
    <s v="SO"/>
  </r>
  <r>
    <x v="0"/>
    <s v="08"/>
    <s v="UKTMP-08"/>
    <x v="6"/>
    <n v="400"/>
    <x v="7"/>
    <x v="7"/>
    <x v="1"/>
    <x v="2"/>
    <n v="1210"/>
    <n v="400"/>
    <n v="484"/>
    <n v="20.999999999999996"/>
    <n v="23.099999999999998"/>
    <s v="Marché 1"/>
    <n v="262.49999999999994"/>
    <n v="173.24999999999997"/>
    <s v="SO"/>
    <n v="0"/>
    <n v="0"/>
    <s v="Marché 1"/>
    <n v="0"/>
    <n v="0"/>
    <s v="SO"/>
    <n v="0"/>
    <n v="0"/>
    <s v="Marché 1"/>
    <n v="0"/>
    <n v="0"/>
    <n v="20.999999999999996"/>
    <n v="23.099999999999998"/>
    <n v="44.099999999999994"/>
    <n v="0"/>
    <n v="0"/>
    <n v="20.999999999999996"/>
    <n v="23.099999999999998"/>
    <x v="35"/>
    <n v="0"/>
    <n v="0"/>
    <n v="0"/>
    <s v="SO"/>
    <n v="0"/>
    <n v="0"/>
    <n v="0"/>
    <n v="0"/>
    <n v="0"/>
    <n v="0"/>
    <n v="0"/>
    <n v="0"/>
    <n v="0"/>
    <s v="Non Refondu"/>
    <n v="42.592199999999991"/>
    <n v="0"/>
    <n v="0"/>
    <s v="SO"/>
  </r>
  <r>
    <x v="0"/>
    <s v="08"/>
    <s v="UKTMP-08"/>
    <x v="7"/>
    <n v="800"/>
    <x v="7"/>
    <x v="7"/>
    <x v="1"/>
    <x v="2"/>
    <n v="1210"/>
    <n v="800"/>
    <n v="968"/>
    <n v="41.999999999999993"/>
    <n v="46.199999999999996"/>
    <s v="Marché 1"/>
    <n v="524.99999999999989"/>
    <n v="346.49999999999994"/>
    <s v="SO"/>
    <n v="0"/>
    <n v="0"/>
    <s v="Marché 1"/>
    <n v="0"/>
    <n v="0"/>
    <s v="SO"/>
    <n v="0"/>
    <n v="0"/>
    <s v="Marché 1"/>
    <n v="0"/>
    <n v="0"/>
    <n v="41.999999999999993"/>
    <n v="46.199999999999996"/>
    <n v="88.199999999999989"/>
    <n v="0"/>
    <n v="0"/>
    <n v="41.999999999999993"/>
    <n v="46.199999999999996"/>
    <x v="36"/>
    <n v="0"/>
    <n v="0"/>
    <n v="0"/>
    <s v="SO"/>
    <n v="0"/>
    <n v="0"/>
    <n v="0"/>
    <n v="0"/>
    <n v="0"/>
    <n v="0"/>
    <n v="0"/>
    <n v="0"/>
    <n v="0"/>
    <s v="Non Refondu"/>
    <n v="85.184399999999982"/>
    <n v="0"/>
    <n v="0"/>
    <s v="SO"/>
  </r>
  <r>
    <x v="0"/>
    <s v="08"/>
    <s v="UKTMP-08"/>
    <x v="8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s v="SO"/>
    <n v="0"/>
    <n v="0"/>
    <s v="Marché 1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x v="37"/>
    <n v="0"/>
    <n v="0"/>
    <n v="0"/>
    <s v="SO"/>
    <n v="0"/>
    <n v="0"/>
    <n v="0"/>
    <n v="0"/>
    <n v="0"/>
    <n v="0"/>
    <n v="0"/>
    <n v="0"/>
    <n v="0"/>
    <s v="Non Refondu"/>
    <n v="106.48049999999999"/>
    <n v="0"/>
    <n v="0"/>
    <s v="SO"/>
  </r>
  <r>
    <x v="0"/>
    <s v="08"/>
    <s v="UKTMP-08"/>
    <x v="9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s v="SO"/>
    <n v="0"/>
    <n v="0"/>
    <s v="Marché 1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x v="37"/>
    <n v="0"/>
    <n v="0"/>
    <n v="0"/>
    <s v="SO"/>
    <n v="0"/>
    <n v="0"/>
    <n v="0"/>
    <n v="0"/>
    <n v="0"/>
    <n v="0"/>
    <n v="0"/>
    <n v="0"/>
    <n v="0"/>
    <s v="Non Refondu"/>
    <n v="106.48049999999999"/>
    <n v="0"/>
    <n v="0"/>
    <s v="SO"/>
  </r>
  <r>
    <x v="0"/>
    <s v="08"/>
    <s v="UKTMP-08"/>
    <x v="10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s v="SO"/>
    <n v="0"/>
    <n v="0"/>
    <s v="Marché 1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x v="37"/>
    <n v="0"/>
    <n v="0"/>
    <n v="0"/>
    <s v="SO"/>
    <n v="0"/>
    <n v="0"/>
    <n v="0"/>
    <n v="0"/>
    <n v="0"/>
    <n v="0"/>
    <n v="0"/>
    <n v="0"/>
    <n v="0"/>
    <s v="Non Refondu"/>
    <n v="106.48049999999999"/>
    <n v="0"/>
    <n v="0"/>
    <s v="SO"/>
  </r>
  <r>
    <x v="0"/>
    <s v="08"/>
    <s v="UKTMP-08"/>
    <x v="11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s v="SO"/>
    <n v="0"/>
    <n v="0"/>
    <s v="Marché 1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x v="37"/>
    <n v="0"/>
    <n v="0"/>
    <n v="0"/>
    <s v="SO"/>
    <n v="0"/>
    <n v="0"/>
    <n v="0"/>
    <n v="0"/>
    <n v="0"/>
    <n v="0"/>
    <n v="0"/>
    <n v="0"/>
    <n v="0"/>
    <s v="Non Refondu"/>
    <n v="106.48049999999999"/>
    <n v="0"/>
    <n v="0"/>
    <s v="SO"/>
  </r>
  <r>
    <x v="0"/>
    <s v="08"/>
    <s v="UKTMP-08"/>
    <x v="12"/>
    <n v="1000"/>
    <x v="7"/>
    <x v="7"/>
    <x v="1"/>
    <x v="2"/>
    <n v="1210"/>
    <n v="1000"/>
    <n v="1210"/>
    <n v="52.499999999999993"/>
    <n v="57.749999999999993"/>
    <s v="Marché 1"/>
    <n v="656.24999999999989"/>
    <n v="433.12499999999994"/>
    <s v="SO"/>
    <n v="0"/>
    <n v="0"/>
    <s v="Marché 1"/>
    <n v="0"/>
    <n v="0"/>
    <s v="SO"/>
    <n v="0"/>
    <n v="0"/>
    <s v="Marché 1"/>
    <n v="0"/>
    <n v="0"/>
    <n v="52.499999999999993"/>
    <n v="57.749999999999993"/>
    <n v="110.24999999999999"/>
    <n v="0"/>
    <n v="0"/>
    <n v="52.499999999999993"/>
    <n v="57.749999999999993"/>
    <x v="37"/>
    <n v="0"/>
    <n v="0"/>
    <n v="0"/>
    <s v="SO"/>
    <n v="0"/>
    <n v="0"/>
    <n v="0"/>
    <n v="0"/>
    <n v="0"/>
    <n v="0"/>
    <n v="0"/>
    <n v="0"/>
    <n v="0"/>
    <s v="Non Refondu"/>
    <n v="106.48049999999999"/>
    <n v="0"/>
    <n v="0"/>
    <s v="SO"/>
  </r>
  <r>
    <x v="1"/>
    <s v="01"/>
    <s v="EcoTi-01"/>
    <x v="4"/>
    <n v="200"/>
    <x v="0"/>
    <x v="8"/>
    <x v="0"/>
    <x v="0"/>
    <n v="1210"/>
    <n v="200"/>
    <n v="242"/>
    <n v="10.499999999999998"/>
    <n v="11.549999999999999"/>
    <s v="Circ 1"/>
    <n v="10.499999999999998"/>
    <n v="6.9299999999999988"/>
    <s v="AD PAMIERS"/>
    <n v="41.8"/>
    <n v="0"/>
    <s v="Circ 1"/>
    <n v="41.8"/>
    <n v="0"/>
    <s v="Client"/>
    <n v="0"/>
    <n v="136"/>
    <s v="Circ 1"/>
    <n v="0"/>
    <n v="81.599999999999994"/>
    <n v="52.3"/>
    <n v="11.549999999999999"/>
    <n v="22.049999999999997"/>
    <n v="41.8"/>
    <n v="136"/>
    <n v="52.3"/>
    <n v="147.55000000000001"/>
    <x v="38"/>
    <n v="61.785250000000012"/>
    <n v="0"/>
    <n v="61.785250000000012"/>
    <s v="Circ 1"/>
    <n v="0"/>
    <n v="0"/>
    <n v="0"/>
    <n v="0"/>
    <n v="0"/>
    <n v="2793.3286249999996"/>
    <n v="0"/>
    <n v="1544.6312500000004"/>
    <n v="17.925454028925621"/>
    <s v="VAR"/>
    <n v="20.692349999999998"/>
    <n v="17.925454028925621"/>
    <n v="4337.9598750000005"/>
    <s v="Circ 1"/>
  </r>
  <r>
    <x v="1"/>
    <s v="01"/>
    <s v="EcoTi-01"/>
    <x v="5"/>
    <n v="400"/>
    <x v="0"/>
    <x v="8"/>
    <x v="0"/>
    <x v="0"/>
    <n v="1210"/>
    <n v="400"/>
    <n v="484"/>
    <n v="20.999999999999996"/>
    <n v="23.099999999999998"/>
    <s v="Circ 1"/>
    <n v="20.999999999999996"/>
    <n v="13.859999999999998"/>
    <s v="AD PAMIERS"/>
    <n v="83.6"/>
    <n v="0"/>
    <s v="Circ 1"/>
    <n v="83.6"/>
    <n v="0"/>
    <s v="Client"/>
    <n v="0"/>
    <n v="272"/>
    <s v="Circ 1"/>
    <n v="0"/>
    <n v="163.19999999999999"/>
    <n v="104.6"/>
    <n v="23.099999999999998"/>
    <n v="44.099999999999994"/>
    <n v="83.6"/>
    <n v="272"/>
    <n v="104.6"/>
    <n v="295.10000000000002"/>
    <x v="39"/>
    <n v="123.57050000000002"/>
    <n v="0"/>
    <n v="123.57050000000002"/>
    <s v="Circ 1"/>
    <n v="0"/>
    <n v="0"/>
    <n v="0"/>
    <n v="0"/>
    <n v="0"/>
    <n v="5586.6572499999993"/>
    <n v="0"/>
    <n v="3089.2625000000007"/>
    <n v="17.925454028925621"/>
    <s v="VAR"/>
    <n v="41.384699999999995"/>
    <n v="17.925454028925621"/>
    <n v="8675.9197500000009"/>
    <s v="Circ 1"/>
  </r>
  <r>
    <x v="1"/>
    <s v="01"/>
    <s v="EcoTi-01"/>
    <x v="6"/>
    <n v="600"/>
    <x v="0"/>
    <x v="8"/>
    <x v="0"/>
    <x v="0"/>
    <n v="1210"/>
    <n v="600"/>
    <n v="726"/>
    <n v="31.499999999999993"/>
    <n v="34.65"/>
    <s v="Circ 1"/>
    <n v="31.499999999999993"/>
    <n v="20.79"/>
    <s v="AD PAMIERS"/>
    <n v="125.39999999999999"/>
    <n v="0"/>
    <s v="Circ 1"/>
    <n v="125.39999999999999"/>
    <n v="0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x v="40"/>
    <n v="185.35575000000003"/>
    <n v="0"/>
    <n v="185.35575000000003"/>
    <s v="Circ 1"/>
    <n v="0"/>
    <n v="0"/>
    <n v="0"/>
    <n v="0"/>
    <n v="0"/>
    <n v="8379.9858749999985"/>
    <n v="0"/>
    <n v="4633.8937500000011"/>
    <n v="17.925454028925618"/>
    <s v="VAR"/>
    <n v="62.077049999999986"/>
    <n v="17.925454028925618"/>
    <n v="13013.879624999998"/>
    <s v="Circ 1"/>
  </r>
  <r>
    <x v="1"/>
    <s v="01"/>
    <s v="EcoTi-01"/>
    <x v="7"/>
    <n v="600"/>
    <x v="0"/>
    <x v="8"/>
    <x v="0"/>
    <x v="0"/>
    <n v="1210"/>
    <n v="600"/>
    <n v="726"/>
    <n v="31.499999999999993"/>
    <n v="34.65"/>
    <s v="Circ 1"/>
    <n v="31.499999999999993"/>
    <n v="20.79"/>
    <s v="AD PAMIERS"/>
    <n v="125.39999999999999"/>
    <n v="0"/>
    <s v="Circ 1"/>
    <n v="125.39999999999999"/>
    <n v="0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x v="40"/>
    <n v="185.35575000000003"/>
    <n v="0"/>
    <n v="185.35575000000003"/>
    <s v="Circ 1"/>
    <n v="0"/>
    <n v="0"/>
    <n v="0"/>
    <n v="0"/>
    <n v="0"/>
    <n v="8379.9858749999985"/>
    <n v="0"/>
    <n v="4633.8937500000011"/>
    <n v="17.925454028925618"/>
    <s v="VAR"/>
    <n v="62.077049999999986"/>
    <n v="17.925454028925618"/>
    <n v="13013.879624999998"/>
    <s v="Circ 1"/>
  </r>
  <r>
    <x v="1"/>
    <s v="01"/>
    <s v="EcoTi-01"/>
    <x v="8"/>
    <n v="600"/>
    <x v="0"/>
    <x v="8"/>
    <x v="0"/>
    <x v="0"/>
    <n v="1210"/>
    <n v="600"/>
    <n v="726"/>
    <n v="31.499999999999993"/>
    <n v="34.65"/>
    <s v="Circ 1"/>
    <n v="31.499999999999993"/>
    <n v="20.79"/>
    <s v="AD PAMIERS"/>
    <n v="125.39999999999999"/>
    <n v="0"/>
    <s v="Circ 1"/>
    <n v="125.39999999999999"/>
    <n v="0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x v="40"/>
    <n v="185.35575000000003"/>
    <n v="0"/>
    <n v="185.35575000000003"/>
    <s v="Circ 1"/>
    <n v="0"/>
    <n v="0"/>
    <n v="0"/>
    <n v="0"/>
    <n v="0"/>
    <n v="8379.9858749999985"/>
    <n v="0"/>
    <n v="4633.8937500000011"/>
    <n v="17.925454028925618"/>
    <s v="VAR"/>
    <n v="62.077049999999986"/>
    <n v="17.925454028925618"/>
    <n v="13013.879624999998"/>
    <s v="Circ 1"/>
  </r>
  <r>
    <x v="1"/>
    <s v="01"/>
    <s v="EcoTi-01"/>
    <x v="9"/>
    <n v="600"/>
    <x v="0"/>
    <x v="8"/>
    <x v="0"/>
    <x v="0"/>
    <n v="1210"/>
    <n v="600"/>
    <n v="726"/>
    <n v="31.499999999999993"/>
    <n v="34.65"/>
    <s v="Circ 1"/>
    <n v="31.499999999999993"/>
    <n v="20.79"/>
    <s v="AD PAMIERS"/>
    <n v="125.39999999999999"/>
    <n v="0"/>
    <s v="Circ 1"/>
    <n v="125.39999999999999"/>
    <n v="0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x v="40"/>
    <n v="185.35575000000003"/>
    <n v="0"/>
    <n v="185.35575000000003"/>
    <s v="Circ 1"/>
    <n v="0"/>
    <n v="0"/>
    <n v="0"/>
    <n v="0"/>
    <n v="0"/>
    <n v="8379.9858749999985"/>
    <n v="0"/>
    <n v="4633.8937500000011"/>
    <n v="17.925454028925618"/>
    <s v="VAR"/>
    <n v="62.077049999999986"/>
    <n v="17.925454028925618"/>
    <n v="13013.879624999998"/>
    <s v="Circ 1"/>
  </r>
  <r>
    <x v="1"/>
    <s v="01"/>
    <s v="EcoTi-01"/>
    <x v="10"/>
    <n v="600"/>
    <x v="0"/>
    <x v="8"/>
    <x v="0"/>
    <x v="0"/>
    <n v="1210"/>
    <n v="600"/>
    <n v="726"/>
    <n v="31.499999999999993"/>
    <n v="34.65"/>
    <s v="Circ 1"/>
    <n v="31.499999999999993"/>
    <n v="20.79"/>
    <s v="AD PAMIERS"/>
    <n v="125.39999999999999"/>
    <n v="0"/>
    <s v="Circ 1"/>
    <n v="125.39999999999999"/>
    <n v="0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x v="40"/>
    <n v="185.35575000000003"/>
    <n v="0"/>
    <n v="185.35575000000003"/>
    <s v="Circ 1"/>
    <n v="0"/>
    <n v="0"/>
    <n v="0"/>
    <n v="0"/>
    <n v="0"/>
    <n v="8379.9858749999985"/>
    <n v="0"/>
    <n v="4633.8937500000011"/>
    <n v="17.925454028925618"/>
    <s v="VAR"/>
    <n v="62.077049999999986"/>
    <n v="17.925454028925618"/>
    <n v="13013.879624999998"/>
    <s v="Circ 1"/>
  </r>
  <r>
    <x v="1"/>
    <s v="01"/>
    <s v="EcoTi-01"/>
    <x v="11"/>
    <n v="600"/>
    <x v="0"/>
    <x v="8"/>
    <x v="0"/>
    <x v="0"/>
    <n v="1210"/>
    <n v="600"/>
    <n v="726"/>
    <n v="31.499999999999993"/>
    <n v="34.65"/>
    <s v="Circ 1"/>
    <n v="31.499999999999993"/>
    <n v="20.79"/>
    <s v="AD PAMIERS"/>
    <n v="125.39999999999999"/>
    <n v="0"/>
    <s v="Circ 1"/>
    <n v="125.39999999999999"/>
    <n v="0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x v="40"/>
    <n v="185.35575000000003"/>
    <n v="0"/>
    <n v="185.35575000000003"/>
    <s v="Circ 1"/>
    <n v="0"/>
    <n v="0"/>
    <n v="0"/>
    <n v="0"/>
    <n v="0"/>
    <n v="8379.9858749999985"/>
    <n v="0"/>
    <n v="4633.8937500000011"/>
    <n v="17.925454028925618"/>
    <s v="VAR"/>
    <n v="62.077049999999986"/>
    <n v="17.925454028925618"/>
    <n v="13013.879624999998"/>
    <s v="Circ 1"/>
  </r>
  <r>
    <x v="1"/>
    <s v="01"/>
    <s v="EcoTi-01"/>
    <x v="12"/>
    <n v="600"/>
    <x v="0"/>
    <x v="8"/>
    <x v="0"/>
    <x v="0"/>
    <n v="1210"/>
    <n v="600"/>
    <n v="726"/>
    <n v="31.499999999999993"/>
    <n v="34.65"/>
    <s v="Circ 1"/>
    <n v="31.499999999999993"/>
    <n v="20.79"/>
    <s v="AD PAMIERS"/>
    <n v="125.39999999999999"/>
    <n v="0"/>
    <s v="Circ 1"/>
    <n v="125.39999999999999"/>
    <n v="0"/>
    <s v="Client"/>
    <n v="0"/>
    <n v="408.00000000000006"/>
    <s v="Circ 1"/>
    <n v="0"/>
    <n v="244.8"/>
    <n v="156.89999999999998"/>
    <n v="34.65"/>
    <n v="66.149999999999991"/>
    <n v="125.39999999999999"/>
    <n v="408.00000000000006"/>
    <n v="156.89999999999998"/>
    <n v="442.65000000000003"/>
    <x v="40"/>
    <n v="185.35575000000003"/>
    <n v="0"/>
    <n v="185.35575000000003"/>
    <s v="Circ 1"/>
    <n v="0"/>
    <n v="0"/>
    <n v="0"/>
    <n v="0"/>
    <n v="0"/>
    <n v="8379.9858749999985"/>
    <n v="0"/>
    <n v="4633.8937500000011"/>
    <n v="17.925454028925618"/>
    <s v="VAR"/>
    <n v="62.077049999999986"/>
    <n v="17.925454028925618"/>
    <n v="13013.879624999998"/>
    <s v="Circ 1"/>
  </r>
  <r>
    <x v="1"/>
    <s v="02"/>
    <s v="EcoTi-02"/>
    <x v="4"/>
    <n v="100"/>
    <x v="3"/>
    <x v="9"/>
    <x v="0"/>
    <x v="0"/>
    <n v="1210"/>
    <n v="100"/>
    <n v="121"/>
    <n v="5.2499999999999991"/>
    <n v="5.7749999999999995"/>
    <s v="Circ 1"/>
    <n v="5.2499999999999991"/>
    <n v="3.4649999999999994"/>
    <s v="AD PAMIERS"/>
    <n v="12.35"/>
    <n v="3.2399999999999998"/>
    <s v="Circ 1"/>
    <n v="12.35"/>
    <n v="1.9439999999999997"/>
    <s v="Client"/>
    <n v="0"/>
    <n v="65"/>
    <s v="Circ 1"/>
    <n v="0"/>
    <n v="39"/>
    <n v="17.599999999999998"/>
    <n v="9.0149999999999988"/>
    <n v="11.024999999999999"/>
    <n v="15.59"/>
    <n v="65"/>
    <n v="17.599999999999998"/>
    <n v="74.015000000000001"/>
    <x v="41"/>
    <n v="39.476345000000002"/>
    <n v="0"/>
    <n v="39.476345000000002"/>
    <s v="Circ 1"/>
    <n v="0"/>
    <n v="0"/>
    <n v="0"/>
    <n v="0"/>
    <n v="0"/>
    <n v="1263.6166524999999"/>
    <n v="0"/>
    <n v="986.90862500000003"/>
    <n v="18.599382458677685"/>
    <s v="VAR"/>
    <n v="10.346174999999999"/>
    <n v="18.599382458677685"/>
    <n v="2250.5252774999999"/>
    <s v="Circ 1"/>
  </r>
  <r>
    <x v="1"/>
    <s v="02"/>
    <s v="EcoTi-02"/>
    <x v="5"/>
    <n v="200"/>
    <x v="3"/>
    <x v="9"/>
    <x v="0"/>
    <x v="0"/>
    <n v="1210"/>
    <n v="200"/>
    <n v="242"/>
    <n v="10.499999999999998"/>
    <n v="11.549999999999999"/>
    <s v="Circ 1"/>
    <n v="10.499999999999998"/>
    <n v="6.9299999999999988"/>
    <s v="AD PAMIERS"/>
    <n v="24.7"/>
    <n v="6.4799999999999995"/>
    <s v="Circ 1"/>
    <n v="24.7"/>
    <n v="3.8879999999999995"/>
    <s v="Client"/>
    <n v="0"/>
    <n v="130"/>
    <s v="Circ 1"/>
    <n v="0"/>
    <n v="78"/>
    <n v="35.199999999999996"/>
    <n v="18.029999999999998"/>
    <n v="22.049999999999997"/>
    <n v="31.18"/>
    <n v="130"/>
    <n v="35.199999999999996"/>
    <n v="148.03"/>
    <x v="42"/>
    <n v="78.952690000000004"/>
    <n v="0"/>
    <n v="78.952690000000004"/>
    <s v="Circ 1"/>
    <n v="0"/>
    <n v="0"/>
    <n v="0"/>
    <n v="0"/>
    <n v="0"/>
    <n v="2527.2333049999997"/>
    <n v="0"/>
    <n v="1973.8172500000001"/>
    <n v="18.599382458677685"/>
    <s v="VAR"/>
    <n v="20.692349999999998"/>
    <n v="18.599382458677685"/>
    <n v="4501.0505549999998"/>
    <s v="Circ 1"/>
  </r>
  <r>
    <x v="1"/>
    <s v="02"/>
    <s v="EcoTi-02"/>
    <x v="6"/>
    <n v="300"/>
    <x v="3"/>
    <x v="9"/>
    <x v="0"/>
    <x v="0"/>
    <n v="1210"/>
    <n v="300"/>
    <n v="363"/>
    <n v="15.749999999999996"/>
    <n v="17.324999999999999"/>
    <s v="Circ 1"/>
    <n v="15.749999999999996"/>
    <n v="10.395"/>
    <s v="AD PAMIERS"/>
    <n v="37.049999999999997"/>
    <n v="9.7199999999999989"/>
    <s v="Circ 1"/>
    <n v="37.049999999999997"/>
    <n v="5.831999999999999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x v="43"/>
    <n v="118.429035"/>
    <n v="0"/>
    <n v="118.429035"/>
    <s v="Circ 1"/>
    <n v="0"/>
    <n v="0"/>
    <n v="0"/>
    <n v="0"/>
    <n v="0"/>
    <n v="3790.8499574999996"/>
    <n v="0"/>
    <n v="2960.7258750000001"/>
    <n v="18.599382458677685"/>
    <s v="VAR"/>
    <n v="31.038524999999993"/>
    <n v="18.599382458677685"/>
    <n v="6751.5758324999997"/>
    <s v="Circ 1"/>
  </r>
  <r>
    <x v="1"/>
    <s v="02"/>
    <s v="EcoTi-02"/>
    <x v="7"/>
    <n v="300"/>
    <x v="3"/>
    <x v="9"/>
    <x v="0"/>
    <x v="0"/>
    <n v="1210"/>
    <n v="300"/>
    <n v="363"/>
    <n v="15.749999999999996"/>
    <n v="17.324999999999999"/>
    <s v="Circ 1"/>
    <n v="15.749999999999996"/>
    <n v="10.395"/>
    <s v="AD PAMIERS"/>
    <n v="37.049999999999997"/>
    <n v="9.7199999999999989"/>
    <s v="Circ 1"/>
    <n v="37.049999999999997"/>
    <n v="5.831999999999999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x v="43"/>
    <n v="118.429035"/>
    <n v="0"/>
    <n v="118.429035"/>
    <s v="Circ 1"/>
    <n v="0"/>
    <n v="0"/>
    <n v="0"/>
    <n v="0"/>
    <n v="0"/>
    <n v="3790.8499574999996"/>
    <n v="0"/>
    <n v="2960.7258750000001"/>
    <n v="18.599382458677685"/>
    <s v="VAR"/>
    <n v="31.038524999999993"/>
    <n v="18.599382458677685"/>
    <n v="6751.5758324999997"/>
    <s v="Circ 1"/>
  </r>
  <r>
    <x v="1"/>
    <s v="02"/>
    <s v="EcoTi-02"/>
    <x v="8"/>
    <n v="300"/>
    <x v="3"/>
    <x v="9"/>
    <x v="0"/>
    <x v="0"/>
    <n v="1210"/>
    <n v="300"/>
    <n v="363"/>
    <n v="15.749999999999996"/>
    <n v="17.324999999999999"/>
    <s v="Circ 1"/>
    <n v="15.749999999999996"/>
    <n v="10.395"/>
    <s v="AD PAMIERS"/>
    <n v="37.049999999999997"/>
    <n v="9.7199999999999989"/>
    <s v="Circ 1"/>
    <n v="37.049999999999997"/>
    <n v="5.831999999999999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x v="43"/>
    <n v="118.429035"/>
    <n v="0"/>
    <n v="118.429035"/>
    <s v="Circ 1"/>
    <n v="0"/>
    <n v="0"/>
    <n v="0"/>
    <n v="0"/>
    <n v="0"/>
    <n v="3790.8499574999996"/>
    <n v="0"/>
    <n v="2960.7258750000001"/>
    <n v="18.599382458677685"/>
    <s v="VAR"/>
    <n v="31.038524999999993"/>
    <n v="18.599382458677685"/>
    <n v="6751.5758324999997"/>
    <s v="Circ 1"/>
  </r>
  <r>
    <x v="1"/>
    <s v="02"/>
    <s v="EcoTi-02"/>
    <x v="9"/>
    <n v="300"/>
    <x v="3"/>
    <x v="9"/>
    <x v="0"/>
    <x v="0"/>
    <n v="1210"/>
    <n v="300"/>
    <n v="363"/>
    <n v="15.749999999999996"/>
    <n v="17.324999999999999"/>
    <s v="Circ 1"/>
    <n v="15.749999999999996"/>
    <n v="10.395"/>
    <s v="AD PAMIERS"/>
    <n v="37.049999999999997"/>
    <n v="9.7199999999999989"/>
    <s v="Circ 1"/>
    <n v="37.049999999999997"/>
    <n v="5.831999999999999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x v="43"/>
    <n v="118.429035"/>
    <n v="0"/>
    <n v="118.429035"/>
    <s v="Circ 1"/>
    <n v="0"/>
    <n v="0"/>
    <n v="0"/>
    <n v="0"/>
    <n v="0"/>
    <n v="3790.8499574999996"/>
    <n v="0"/>
    <n v="2960.7258750000001"/>
    <n v="18.599382458677685"/>
    <s v="VAR"/>
    <n v="31.038524999999993"/>
    <n v="18.599382458677685"/>
    <n v="6751.5758324999997"/>
    <s v="Circ 1"/>
  </r>
  <r>
    <x v="1"/>
    <s v="02"/>
    <s v="EcoTi-02"/>
    <x v="10"/>
    <n v="300"/>
    <x v="3"/>
    <x v="9"/>
    <x v="0"/>
    <x v="0"/>
    <n v="1210"/>
    <n v="300"/>
    <n v="363"/>
    <n v="15.749999999999996"/>
    <n v="17.324999999999999"/>
    <s v="Circ 1"/>
    <n v="15.749999999999996"/>
    <n v="10.395"/>
    <s v="AD PAMIERS"/>
    <n v="37.049999999999997"/>
    <n v="9.7199999999999989"/>
    <s v="Circ 1"/>
    <n v="37.049999999999997"/>
    <n v="5.831999999999999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x v="43"/>
    <n v="118.429035"/>
    <n v="0"/>
    <n v="118.429035"/>
    <s v="Circ 1"/>
    <n v="0"/>
    <n v="0"/>
    <n v="0"/>
    <n v="0"/>
    <n v="0"/>
    <n v="3790.8499574999996"/>
    <n v="0"/>
    <n v="2960.7258750000001"/>
    <n v="18.599382458677685"/>
    <s v="VAR"/>
    <n v="31.038524999999993"/>
    <n v="18.599382458677685"/>
    <n v="6751.5758324999997"/>
    <s v="Circ 1"/>
  </r>
  <r>
    <x v="1"/>
    <s v="02"/>
    <s v="EcoTi-02"/>
    <x v="11"/>
    <n v="300"/>
    <x v="3"/>
    <x v="9"/>
    <x v="0"/>
    <x v="0"/>
    <n v="1210"/>
    <n v="300"/>
    <n v="363"/>
    <n v="15.749999999999996"/>
    <n v="17.324999999999999"/>
    <s v="Circ 1"/>
    <n v="15.749999999999996"/>
    <n v="10.395"/>
    <s v="AD PAMIERS"/>
    <n v="37.049999999999997"/>
    <n v="9.7199999999999989"/>
    <s v="Circ 1"/>
    <n v="37.049999999999997"/>
    <n v="5.831999999999999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x v="43"/>
    <n v="118.429035"/>
    <n v="0"/>
    <n v="118.429035"/>
    <s v="Circ 1"/>
    <n v="0"/>
    <n v="0"/>
    <n v="0"/>
    <n v="0"/>
    <n v="0"/>
    <n v="3790.8499574999996"/>
    <n v="0"/>
    <n v="2960.7258750000001"/>
    <n v="18.599382458677685"/>
    <s v="VAR"/>
    <n v="31.038524999999993"/>
    <n v="18.599382458677685"/>
    <n v="6751.5758324999997"/>
    <s v="Circ 1"/>
  </r>
  <r>
    <x v="1"/>
    <s v="02"/>
    <s v="EcoTi-02"/>
    <x v="12"/>
    <n v="300"/>
    <x v="3"/>
    <x v="9"/>
    <x v="0"/>
    <x v="0"/>
    <n v="1210"/>
    <n v="300"/>
    <n v="363"/>
    <n v="15.749999999999996"/>
    <n v="17.324999999999999"/>
    <s v="Circ 1"/>
    <n v="15.749999999999996"/>
    <n v="10.395"/>
    <s v="AD PAMIERS"/>
    <n v="37.049999999999997"/>
    <n v="9.7199999999999989"/>
    <s v="Circ 1"/>
    <n v="37.049999999999997"/>
    <n v="5.831999999999999"/>
    <s v="Client"/>
    <n v="0"/>
    <n v="195"/>
    <s v="Circ 1"/>
    <n v="0"/>
    <n v="117"/>
    <n v="52.8"/>
    <n v="27.044999999999998"/>
    <n v="33.074999999999996"/>
    <n v="46.769999999999996"/>
    <n v="195"/>
    <n v="52.8"/>
    <n v="222.04499999999999"/>
    <x v="43"/>
    <n v="118.429035"/>
    <n v="0"/>
    <n v="118.429035"/>
    <s v="Circ 1"/>
    <n v="0"/>
    <n v="0"/>
    <n v="0"/>
    <n v="0"/>
    <n v="0"/>
    <n v="3790.8499574999996"/>
    <n v="0"/>
    <n v="2960.7258750000001"/>
    <n v="18.599382458677685"/>
    <s v="VAR"/>
    <n v="31.038524999999993"/>
    <n v="18.599382458677685"/>
    <n v="6751.5758324999997"/>
    <s v="Circ 1"/>
  </r>
  <r>
    <x v="1"/>
    <s v="03"/>
    <s v="EcoTi-03"/>
    <x v="4"/>
    <n v="25"/>
    <x v="4"/>
    <x v="10"/>
    <x v="3"/>
    <x v="0"/>
    <n v="1210"/>
    <n v="25"/>
    <n v="30.25"/>
    <n v="1.3124999999999998"/>
    <n v="1.4437499999999999"/>
    <s v="Circ 1"/>
    <n v="1.3124999999999998"/>
    <n v="0.86624999999999985"/>
    <s v="AD PAMIERS"/>
    <n v="1.1875"/>
    <n v="9"/>
    <s v="Circ 1"/>
    <n v="1.1875"/>
    <n v="5.3999999999999995"/>
    <s v="Client"/>
    <n v="0"/>
    <n v="0"/>
    <s v="Circ 1"/>
    <n v="0"/>
    <n v="0"/>
    <n v="2.5"/>
    <n v="10.44375"/>
    <n v="2.7562499999999996"/>
    <n v="10.1875"/>
    <n v="0"/>
    <n v="2.5"/>
    <n v="10.44375"/>
    <x v="44"/>
    <n v="18.729706249999996"/>
    <n v="0"/>
    <n v="18.729706249999996"/>
    <s v="Circ 1"/>
    <n v="0"/>
    <n v="0"/>
    <n v="0"/>
    <n v="0"/>
    <n v="0"/>
    <n v="178.56455312500003"/>
    <n v="0"/>
    <n v="468.24265624999992"/>
    <n v="21.382056508264462"/>
    <s v="VAR"/>
    <n v="2.5865437499999997"/>
    <n v="21.382056508264462"/>
    <n v="646.80720937499996"/>
    <s v="Circ 1"/>
  </r>
  <r>
    <x v="1"/>
    <s v="03"/>
    <s v="EcoTi-03"/>
    <x v="5"/>
    <n v="50"/>
    <x v="4"/>
    <x v="10"/>
    <x v="3"/>
    <x v="0"/>
    <n v="1210"/>
    <n v="50"/>
    <n v="60.5"/>
    <n v="2.6249999999999996"/>
    <n v="2.8874999999999997"/>
    <s v="Circ 1"/>
    <n v="2.6249999999999996"/>
    <n v="1.7324999999999997"/>
    <s v="AD PAMIERS"/>
    <n v="2.375"/>
    <n v="18"/>
    <s v="Circ 1"/>
    <n v="2.375"/>
    <n v="10.799999999999999"/>
    <s v="Client"/>
    <n v="0"/>
    <n v="0"/>
    <s v="Circ 1"/>
    <n v="0"/>
    <n v="0"/>
    <n v="5"/>
    <n v="20.887499999999999"/>
    <n v="5.5124999999999993"/>
    <n v="20.375"/>
    <n v="0"/>
    <n v="5"/>
    <n v="20.887499999999999"/>
    <x v="45"/>
    <n v="37.459412499999992"/>
    <n v="0"/>
    <n v="37.459412499999992"/>
    <s v="Circ 1"/>
    <n v="0"/>
    <n v="0"/>
    <n v="0"/>
    <n v="0"/>
    <n v="0"/>
    <n v="357.12910625000006"/>
    <n v="0"/>
    <n v="936.48531249999985"/>
    <n v="21.382056508264462"/>
    <s v="VAR"/>
    <n v="5.1730874999999994"/>
    <n v="21.382056508264462"/>
    <n v="1293.6144187499999"/>
    <s v="Circ 1"/>
  </r>
  <r>
    <x v="1"/>
    <s v="03"/>
    <s v="EcoTi-03"/>
    <x v="6"/>
    <n v="100"/>
    <x v="4"/>
    <x v="10"/>
    <x v="3"/>
    <x v="0"/>
    <n v="1210"/>
    <n v="100"/>
    <n v="121"/>
    <n v="5.2499999999999991"/>
    <n v="5.7749999999999995"/>
    <s v="Circ 1"/>
    <n v="5.2499999999999991"/>
    <n v="3.4649999999999994"/>
    <s v="AD PAMIERS"/>
    <n v="4.75"/>
    <n v="36"/>
    <s v="Circ 1"/>
    <n v="4.75"/>
    <n v="21.599999999999998"/>
    <s v="Client"/>
    <n v="0"/>
    <n v="0"/>
    <s v="Circ 1"/>
    <n v="0"/>
    <n v="0"/>
    <n v="10"/>
    <n v="41.774999999999999"/>
    <n v="11.024999999999999"/>
    <n v="40.75"/>
    <n v="0"/>
    <n v="10"/>
    <n v="41.774999999999999"/>
    <x v="46"/>
    <n v="74.918824999999984"/>
    <n v="0"/>
    <n v="74.918824999999984"/>
    <s v="Circ 1"/>
    <n v="0"/>
    <n v="0"/>
    <n v="0"/>
    <n v="0"/>
    <n v="0"/>
    <n v="714.25821250000013"/>
    <n v="0"/>
    <n v="1872.9706249999997"/>
    <n v="21.382056508264462"/>
    <s v="VAR"/>
    <n v="10.346174999999999"/>
    <n v="21.382056508264462"/>
    <n v="2587.2288374999998"/>
    <s v="Circ 1"/>
  </r>
  <r>
    <x v="1"/>
    <s v="03"/>
    <s v="EcoTi-03"/>
    <x v="7"/>
    <n v="190"/>
    <x v="4"/>
    <x v="10"/>
    <x v="3"/>
    <x v="0"/>
    <n v="1210"/>
    <n v="190"/>
    <n v="229.9"/>
    <n v="9.9749999999999979"/>
    <n v="10.972499999999998"/>
    <s v="Circ 1"/>
    <n v="9.9749999999999979"/>
    <n v="6.583499999999999"/>
    <s v="AD PAMIERS"/>
    <n v="9.0250000000000004"/>
    <n v="68.400000000000006"/>
    <s v="Circ 1"/>
    <n v="9.0250000000000004"/>
    <n v="41.04"/>
    <s v="Client"/>
    <n v="0"/>
    <n v="0"/>
    <s v="Circ 1"/>
    <n v="0"/>
    <n v="0"/>
    <n v="19"/>
    <n v="79.372500000000002"/>
    <n v="20.947499999999998"/>
    <n v="77.425000000000011"/>
    <n v="0"/>
    <n v="19"/>
    <n v="79.372500000000002"/>
    <x v="47"/>
    <n v="142.34576749999997"/>
    <n v="0"/>
    <n v="142.34576749999997"/>
    <s v="Circ 1"/>
    <n v="0"/>
    <n v="0"/>
    <n v="0"/>
    <n v="0"/>
    <n v="0"/>
    <n v="1357.0906037500001"/>
    <n v="0"/>
    <n v="3558.6441874999991"/>
    <n v="21.382056508264462"/>
    <s v="VAR"/>
    <n v="19.657732499999998"/>
    <n v="21.382056508264462"/>
    <n v="4915.7347912499999"/>
    <s v="Circ 1"/>
  </r>
  <r>
    <x v="1"/>
    <s v="03"/>
    <s v="EcoTi-03"/>
    <x v="8"/>
    <n v="250"/>
    <x v="4"/>
    <x v="10"/>
    <x v="3"/>
    <x v="0"/>
    <n v="1210"/>
    <n v="250"/>
    <n v="302.5"/>
    <n v="13.124999999999998"/>
    <n v="14.437499999999998"/>
    <s v="Circ 1"/>
    <n v="13.124999999999998"/>
    <n v="8.6624999999999979"/>
    <s v="AD PAMIERS"/>
    <n v="11.875"/>
    <n v="90"/>
    <s v="Circ 1"/>
    <n v="11.875"/>
    <n v="54"/>
    <s v="Client"/>
    <n v="0"/>
    <n v="0"/>
    <s v="Circ 1"/>
    <n v="0"/>
    <n v="0"/>
    <n v="25"/>
    <n v="104.4375"/>
    <n v="27.562499999999996"/>
    <n v="101.875"/>
    <n v="0"/>
    <n v="25"/>
    <n v="104.4375"/>
    <x v="48"/>
    <n v="187.29706249999998"/>
    <n v="0"/>
    <n v="187.29706249999998"/>
    <s v="Circ 1"/>
    <n v="0"/>
    <n v="0"/>
    <n v="0"/>
    <n v="0"/>
    <n v="0"/>
    <n v="1785.6455312500002"/>
    <n v="0"/>
    <n v="4682.4265624999998"/>
    <n v="21.382056508264462"/>
    <s v="VAR"/>
    <n v="25.865437499999999"/>
    <n v="21.382056508264462"/>
    <n v="6468.07209375"/>
    <s v="Circ 1"/>
  </r>
  <r>
    <x v="1"/>
    <s v="03"/>
    <s v="EcoTi-03"/>
    <x v="9"/>
    <n v="200"/>
    <x v="4"/>
    <x v="10"/>
    <x v="3"/>
    <x v="0"/>
    <n v="1210"/>
    <n v="200"/>
    <n v="242"/>
    <n v="10.499999999999998"/>
    <n v="11.549999999999999"/>
    <s v="Circ 1"/>
    <n v="10.499999999999998"/>
    <n v="6.9299999999999988"/>
    <s v="AD PAMIERS"/>
    <n v="9.5"/>
    <n v="72"/>
    <s v="Circ 1"/>
    <n v="9.5"/>
    <n v="43.199999999999996"/>
    <s v="Client"/>
    <n v="0"/>
    <n v="0"/>
    <s v="Circ 1"/>
    <n v="0"/>
    <n v="0"/>
    <n v="20"/>
    <n v="83.55"/>
    <n v="22.049999999999997"/>
    <n v="81.5"/>
    <n v="0"/>
    <n v="20"/>
    <n v="83.55"/>
    <x v="49"/>
    <n v="149.83764999999997"/>
    <n v="0"/>
    <n v="149.83764999999997"/>
    <s v="Circ 1"/>
    <n v="0"/>
    <n v="0"/>
    <n v="0"/>
    <n v="0"/>
    <n v="0"/>
    <n v="1428.5164250000003"/>
    <n v="0"/>
    <n v="3745.9412499999994"/>
    <n v="21.382056508264462"/>
    <s v="VAR"/>
    <n v="20.692349999999998"/>
    <n v="21.382056508264462"/>
    <n v="5174.4576749999997"/>
    <s v="Circ 1"/>
  </r>
  <r>
    <x v="1"/>
    <s v="03"/>
    <s v="EcoTi-03"/>
    <x v="10"/>
    <n v="200"/>
    <x v="4"/>
    <x v="10"/>
    <x v="3"/>
    <x v="0"/>
    <n v="1210"/>
    <n v="200"/>
    <n v="242"/>
    <n v="10.499999999999998"/>
    <n v="11.549999999999999"/>
    <s v="Circ 1"/>
    <n v="10.499999999999998"/>
    <n v="6.9299999999999988"/>
    <s v="AD PAMIERS"/>
    <n v="9.5"/>
    <n v="72"/>
    <s v="Circ 1"/>
    <n v="9.5"/>
    <n v="43.199999999999996"/>
    <s v="Client"/>
    <n v="0"/>
    <n v="0"/>
    <s v="Circ 1"/>
    <n v="0"/>
    <n v="0"/>
    <n v="20"/>
    <n v="83.55"/>
    <n v="22.049999999999997"/>
    <n v="81.5"/>
    <n v="0"/>
    <n v="20"/>
    <n v="83.55"/>
    <x v="49"/>
    <n v="149.83764999999997"/>
    <n v="0"/>
    <n v="149.83764999999997"/>
    <s v="Circ 1"/>
    <n v="0"/>
    <n v="0"/>
    <n v="0"/>
    <n v="0"/>
    <n v="0"/>
    <n v="1428.5164250000003"/>
    <n v="0"/>
    <n v="3745.9412499999994"/>
    <n v="21.382056508264462"/>
    <s v="VAR"/>
    <n v="20.692349999999998"/>
    <n v="21.382056508264462"/>
    <n v="5174.4576749999997"/>
    <s v="Circ 1"/>
  </r>
  <r>
    <x v="1"/>
    <s v="03"/>
    <s v="EcoTi-03"/>
    <x v="11"/>
    <n v="200"/>
    <x v="4"/>
    <x v="10"/>
    <x v="3"/>
    <x v="0"/>
    <n v="1210"/>
    <n v="200"/>
    <n v="242"/>
    <n v="10.499999999999998"/>
    <n v="11.549999999999999"/>
    <s v="Circ 1"/>
    <n v="10.499999999999998"/>
    <n v="6.9299999999999988"/>
    <s v="AD PAMIERS"/>
    <n v="9.5"/>
    <n v="72"/>
    <s v="Circ 1"/>
    <n v="9.5"/>
    <n v="43.199999999999996"/>
    <s v="Client"/>
    <n v="0"/>
    <n v="0"/>
    <s v="Circ 1"/>
    <n v="0"/>
    <n v="0"/>
    <n v="20"/>
    <n v="83.55"/>
    <n v="22.049999999999997"/>
    <n v="81.5"/>
    <n v="0"/>
    <n v="20"/>
    <n v="83.55"/>
    <x v="49"/>
    <n v="149.83764999999997"/>
    <n v="0"/>
    <n v="149.83764999999997"/>
    <s v="Circ 1"/>
    <n v="0"/>
    <n v="0"/>
    <n v="0"/>
    <n v="0"/>
    <n v="0"/>
    <n v="1428.5164250000003"/>
    <n v="0"/>
    <n v="3745.9412499999994"/>
    <n v="21.382056508264462"/>
    <s v="VAR"/>
    <n v="20.692349999999998"/>
    <n v="21.382056508264462"/>
    <n v="5174.4576749999997"/>
    <s v="Circ 1"/>
  </r>
  <r>
    <x v="1"/>
    <s v="03"/>
    <s v="EcoTi-03"/>
    <x v="12"/>
    <n v="150"/>
    <x v="4"/>
    <x v="10"/>
    <x v="3"/>
    <x v="0"/>
    <n v="1210"/>
    <n v="150"/>
    <n v="181.5"/>
    <n v="7.8749999999999982"/>
    <n v="8.6624999999999996"/>
    <s v="Circ 1"/>
    <n v="7.8749999999999982"/>
    <n v="5.1974999999999998"/>
    <s v="AD PAMIERS"/>
    <n v="7.125"/>
    <n v="54"/>
    <s v="Circ 1"/>
    <n v="7.125"/>
    <n v="32.4"/>
    <s v="Client"/>
    <n v="0"/>
    <n v="0"/>
    <s v="Circ 1"/>
    <n v="0"/>
    <n v="0"/>
    <n v="14.999999999999998"/>
    <n v="62.662500000000001"/>
    <n v="16.537499999999998"/>
    <n v="61.125"/>
    <n v="0"/>
    <n v="14.999999999999998"/>
    <n v="62.662500000000001"/>
    <x v="50"/>
    <n v="112.37823749999998"/>
    <n v="0"/>
    <n v="112.37823749999998"/>
    <s v="Circ 1"/>
    <n v="0"/>
    <n v="0"/>
    <n v="0"/>
    <n v="0"/>
    <n v="0"/>
    <n v="1071.3873187500003"/>
    <n v="0"/>
    <n v="2809.4559374999994"/>
    <n v="21.382056508264462"/>
    <s v="VAR"/>
    <n v="15.519262499999996"/>
    <n v="21.382056508264462"/>
    <n v="3880.8432562499997"/>
    <s v="Circ 1"/>
  </r>
  <r>
    <x v="1"/>
    <s v="04"/>
    <s v="EcoTi-04"/>
    <x v="4"/>
    <n v="25"/>
    <x v="5"/>
    <x v="11"/>
    <x v="2"/>
    <x v="0"/>
    <n v="1411"/>
    <n v="25"/>
    <n v="35.274999999999999"/>
    <n v="1.3125"/>
    <n v="0"/>
    <s v="Circ 1"/>
    <n v="1.3125"/>
    <n v="0"/>
    <s v="BA pour UKAD"/>
    <n v="1.40625"/>
    <n v="0"/>
    <s v="Circ 1"/>
    <n v="1.40625"/>
    <n v="0"/>
    <s v="Client"/>
    <n v="0"/>
    <n v="0"/>
    <s v="Circ 1"/>
    <n v="0"/>
    <n v="0"/>
    <n v="2.71875"/>
    <n v="0"/>
    <n v="1.3125"/>
    <n v="1.40625"/>
    <n v="0"/>
    <n v="2.71875"/>
    <n v="0"/>
    <x v="51"/>
    <n v="32.480125000000001"/>
    <n v="0"/>
    <n v="32.480125000000001"/>
    <s v="Circ 1"/>
    <n v="0"/>
    <n v="0"/>
    <n v="0"/>
    <n v="0"/>
    <n v="0"/>
    <n v="43.320562500000001"/>
    <n v="0"/>
    <n v="812.00312500000007"/>
    <n v="24.247305102764003"/>
    <s v="VAR"/>
    <n v="1.3492500000000001"/>
    <n v="24.247305102764003"/>
    <n v="855.32368750000012"/>
    <s v="Circ 1"/>
  </r>
  <r>
    <x v="1"/>
    <s v="04"/>
    <s v="EcoTi-04"/>
    <x v="5"/>
    <n v="50"/>
    <x v="5"/>
    <x v="11"/>
    <x v="2"/>
    <x v="0"/>
    <n v="1411"/>
    <n v="50"/>
    <n v="70.55"/>
    <n v="2.625"/>
    <n v="0"/>
    <s v="Circ 1"/>
    <n v="2.625"/>
    <n v="0"/>
    <s v="BA pour UKAD"/>
    <n v="2.8125"/>
    <n v="0"/>
    <s v="Circ 1"/>
    <n v="2.8125"/>
    <n v="0"/>
    <s v="Client"/>
    <n v="0"/>
    <n v="0"/>
    <s v="Circ 1"/>
    <n v="0"/>
    <n v="0"/>
    <n v="5.4375"/>
    <n v="0"/>
    <n v="2.625"/>
    <n v="2.8125"/>
    <n v="0"/>
    <n v="5.4375"/>
    <n v="0"/>
    <x v="25"/>
    <n v="64.960250000000002"/>
    <n v="0"/>
    <n v="64.960250000000002"/>
    <s v="Circ 1"/>
    <n v="0"/>
    <n v="0"/>
    <n v="0"/>
    <n v="0"/>
    <n v="0"/>
    <n v="86.641125000000002"/>
    <n v="0"/>
    <n v="1624.0062500000001"/>
    <n v="24.247305102764003"/>
    <s v="VAR"/>
    <n v="2.6985000000000001"/>
    <n v="24.247305102764003"/>
    <n v="1710.6473750000002"/>
    <s v="Circ 1"/>
  </r>
  <r>
    <x v="1"/>
    <s v="04"/>
    <s v="EcoTi-04"/>
    <x v="6"/>
    <n v="100"/>
    <x v="5"/>
    <x v="11"/>
    <x v="2"/>
    <x v="0"/>
    <n v="1411"/>
    <n v="100"/>
    <n v="141.1"/>
    <n v="5.25"/>
    <n v="0"/>
    <s v="Circ 1"/>
    <n v="5.25"/>
    <n v="0"/>
    <s v="BA pour UKAD"/>
    <n v="5.625"/>
    <n v="0"/>
    <s v="Circ 1"/>
    <n v="5.625"/>
    <n v="0"/>
    <s v="Client"/>
    <n v="0"/>
    <n v="0"/>
    <s v="Circ 1"/>
    <n v="0"/>
    <n v="0"/>
    <n v="10.875"/>
    <n v="0"/>
    <n v="5.25"/>
    <n v="5.625"/>
    <n v="0"/>
    <n v="10.875"/>
    <n v="0"/>
    <x v="21"/>
    <n v="129.9205"/>
    <n v="0"/>
    <n v="129.9205"/>
    <s v="Circ 1"/>
    <n v="0"/>
    <n v="0"/>
    <n v="0"/>
    <n v="0"/>
    <n v="0"/>
    <n v="173.28225"/>
    <n v="0"/>
    <n v="3248.0125000000003"/>
    <n v="24.247305102764003"/>
    <s v="VAR"/>
    <n v="5.3970000000000002"/>
    <n v="24.247305102764003"/>
    <n v="3421.2947500000005"/>
    <s v="Circ 1"/>
  </r>
  <r>
    <x v="1"/>
    <s v="04"/>
    <s v="EcoTi-04"/>
    <x v="7"/>
    <n v="190"/>
    <x v="5"/>
    <x v="11"/>
    <x v="2"/>
    <x v="0"/>
    <n v="1411"/>
    <n v="190"/>
    <n v="268.09000000000003"/>
    <n v="9.9749999999999996"/>
    <n v="0"/>
    <s v="Circ 1"/>
    <n v="9.9749999999999996"/>
    <n v="0"/>
    <s v="BA pour UKAD"/>
    <n v="10.6875"/>
    <n v="0"/>
    <s v="Circ 1"/>
    <n v="10.6875"/>
    <n v="0"/>
    <s v="Client"/>
    <n v="0"/>
    <n v="0"/>
    <s v="Circ 1"/>
    <n v="0"/>
    <n v="0"/>
    <n v="20.662500000000001"/>
    <n v="0"/>
    <n v="9.9749999999999996"/>
    <n v="10.6875"/>
    <n v="0"/>
    <n v="20.662500000000001"/>
    <n v="0"/>
    <x v="52"/>
    <n v="246.84895"/>
    <n v="0"/>
    <n v="246.84895"/>
    <s v="Circ 1"/>
    <n v="0"/>
    <n v="0"/>
    <n v="0"/>
    <n v="0"/>
    <n v="0"/>
    <n v="329.23627500000003"/>
    <n v="0"/>
    <n v="6171.2237500000001"/>
    <n v="24.247305102763995"/>
    <s v="VAR"/>
    <n v="10.254300000000001"/>
    <n v="24.247305102763995"/>
    <n v="6500.4600250000003"/>
    <s v="Circ 1"/>
  </r>
  <r>
    <x v="1"/>
    <s v="04"/>
    <s v="EcoTi-04"/>
    <x v="8"/>
    <n v="200"/>
    <x v="5"/>
    <x v="11"/>
    <x v="2"/>
    <x v="0"/>
    <n v="1411"/>
    <n v="200"/>
    <n v="282.2"/>
    <n v="10.5"/>
    <n v="0"/>
    <s v="Circ 1"/>
    <n v="10.5"/>
    <n v="0"/>
    <s v="BA pour UKAD"/>
    <n v="11.25"/>
    <n v="0"/>
    <s v="Circ 1"/>
    <n v="11.25"/>
    <n v="0"/>
    <s v="Client"/>
    <n v="0"/>
    <n v="0"/>
    <s v="Circ 1"/>
    <n v="0"/>
    <n v="0"/>
    <n v="21.75"/>
    <n v="0"/>
    <n v="10.5"/>
    <n v="11.25"/>
    <n v="0"/>
    <n v="21.75"/>
    <n v="0"/>
    <x v="22"/>
    <n v="259.84100000000001"/>
    <n v="0"/>
    <n v="259.84100000000001"/>
    <s v="Circ 1"/>
    <n v="0"/>
    <n v="0"/>
    <n v="0"/>
    <n v="0"/>
    <n v="0"/>
    <n v="346.56450000000001"/>
    <n v="0"/>
    <n v="6496.0250000000005"/>
    <n v="24.247305102764003"/>
    <s v="VAR"/>
    <n v="10.794"/>
    <n v="24.247305102764003"/>
    <n v="6842.589500000001"/>
    <s v="Circ 1"/>
  </r>
  <r>
    <x v="1"/>
    <s v="04"/>
    <s v="EcoTi-04"/>
    <x v="9"/>
    <n v="200"/>
    <x v="5"/>
    <x v="11"/>
    <x v="2"/>
    <x v="0"/>
    <n v="1411"/>
    <n v="200"/>
    <n v="282.2"/>
    <n v="10.5"/>
    <n v="0"/>
    <s v="Circ 1"/>
    <n v="10.5"/>
    <n v="0"/>
    <s v="BA pour UKAD"/>
    <n v="11.25"/>
    <n v="0"/>
    <s v="Circ 1"/>
    <n v="11.25"/>
    <n v="0"/>
    <s v="Client"/>
    <n v="0"/>
    <n v="0"/>
    <s v="Circ 1"/>
    <n v="0"/>
    <n v="0"/>
    <n v="21.75"/>
    <n v="0"/>
    <n v="10.5"/>
    <n v="11.25"/>
    <n v="0"/>
    <n v="21.75"/>
    <n v="0"/>
    <x v="22"/>
    <n v="259.84100000000001"/>
    <n v="0"/>
    <n v="259.84100000000001"/>
    <s v="Circ 1"/>
    <n v="0"/>
    <n v="0"/>
    <n v="0"/>
    <n v="0"/>
    <n v="0"/>
    <n v="346.56450000000001"/>
    <n v="0"/>
    <n v="6496.0250000000005"/>
    <n v="24.247305102764003"/>
    <s v="VAR"/>
    <n v="10.794"/>
    <n v="24.247305102764003"/>
    <n v="6842.589500000001"/>
    <s v="Circ 1"/>
  </r>
  <r>
    <x v="1"/>
    <s v="04"/>
    <s v="EcoTi-04"/>
    <x v="10"/>
    <n v="200"/>
    <x v="5"/>
    <x v="11"/>
    <x v="2"/>
    <x v="0"/>
    <n v="1411"/>
    <n v="200"/>
    <n v="282.2"/>
    <n v="10.5"/>
    <n v="0"/>
    <s v="Circ 1"/>
    <n v="10.5"/>
    <n v="0"/>
    <s v="BA pour UKAD"/>
    <n v="11.25"/>
    <n v="0"/>
    <s v="Circ 1"/>
    <n v="11.25"/>
    <n v="0"/>
    <s v="Client"/>
    <n v="0"/>
    <n v="0"/>
    <s v="Circ 1"/>
    <n v="0"/>
    <n v="0"/>
    <n v="21.75"/>
    <n v="0"/>
    <n v="10.5"/>
    <n v="11.25"/>
    <n v="0"/>
    <n v="21.75"/>
    <n v="0"/>
    <x v="22"/>
    <n v="259.84100000000001"/>
    <n v="0"/>
    <n v="259.84100000000001"/>
    <s v="Circ 1"/>
    <n v="0"/>
    <n v="0"/>
    <n v="0"/>
    <n v="0"/>
    <n v="0"/>
    <n v="346.56450000000001"/>
    <n v="0"/>
    <n v="6496.0250000000005"/>
    <n v="24.247305102764003"/>
    <s v="VAR"/>
    <n v="10.794"/>
    <n v="24.247305102764003"/>
    <n v="6842.589500000001"/>
    <s v="Circ 1"/>
  </r>
  <r>
    <x v="1"/>
    <s v="04"/>
    <s v="EcoTi-04"/>
    <x v="11"/>
    <n v="150"/>
    <x v="5"/>
    <x v="11"/>
    <x v="2"/>
    <x v="0"/>
    <n v="1411"/>
    <n v="150"/>
    <n v="211.65"/>
    <n v="7.875"/>
    <n v="0"/>
    <s v="Circ 1"/>
    <n v="7.875"/>
    <n v="0"/>
    <s v="BA pour UKAD"/>
    <n v="8.4375"/>
    <n v="0"/>
    <s v="Circ 1"/>
    <n v="8.4375"/>
    <n v="0"/>
    <s v="Client"/>
    <n v="0"/>
    <n v="0"/>
    <s v="Circ 1"/>
    <n v="0"/>
    <n v="0"/>
    <n v="16.3125"/>
    <n v="0"/>
    <n v="7.875"/>
    <n v="8.4375"/>
    <n v="0"/>
    <n v="16.3125"/>
    <n v="0"/>
    <x v="28"/>
    <n v="194.88074999999998"/>
    <n v="0"/>
    <n v="194.88074999999998"/>
    <s v="Circ 1"/>
    <n v="0"/>
    <n v="0"/>
    <n v="0"/>
    <n v="0"/>
    <n v="0"/>
    <n v="259.92337499999996"/>
    <n v="0"/>
    <n v="4872.0187499999993"/>
    <n v="24.247305102763999"/>
    <s v="VAR"/>
    <n v="8.0954999999999995"/>
    <n v="24.247305102763999"/>
    <n v="5131.9421250000005"/>
    <s v="Circ 1"/>
  </r>
  <r>
    <x v="1"/>
    <s v="04"/>
    <s v="EcoTi-04"/>
    <x v="12"/>
    <n v="150"/>
    <x v="5"/>
    <x v="11"/>
    <x v="2"/>
    <x v="0"/>
    <n v="1411"/>
    <n v="150"/>
    <n v="211.65"/>
    <n v="7.875"/>
    <n v="0"/>
    <s v="Circ 1"/>
    <n v="7.875"/>
    <n v="0"/>
    <s v="BA pour UKAD"/>
    <n v="8.4375"/>
    <n v="0"/>
    <s v="Circ 1"/>
    <n v="8.4375"/>
    <n v="0"/>
    <s v="Client"/>
    <n v="0"/>
    <n v="0"/>
    <s v="Circ 1"/>
    <n v="0"/>
    <n v="0"/>
    <n v="16.3125"/>
    <n v="0"/>
    <n v="7.875"/>
    <n v="8.4375"/>
    <n v="0"/>
    <n v="16.3125"/>
    <n v="0"/>
    <x v="28"/>
    <n v="194.88074999999998"/>
    <n v="0"/>
    <n v="194.88074999999998"/>
    <s v="Circ 1"/>
    <n v="0"/>
    <n v="0"/>
    <n v="0"/>
    <n v="0"/>
    <n v="0"/>
    <n v="259.92337499999996"/>
    <n v="0"/>
    <n v="4872.0187499999993"/>
    <n v="24.247305102763999"/>
    <s v="VAR"/>
    <n v="8.0954999999999995"/>
    <n v="24.247305102763999"/>
    <n v="5131.9421250000005"/>
    <s v="Circ 1"/>
  </r>
  <r>
    <x v="1"/>
    <s v="05"/>
    <s v="EcoTi-05"/>
    <x v="4"/>
    <n v="50"/>
    <x v="8"/>
    <x v="12"/>
    <x v="2"/>
    <x v="0"/>
    <n v="1160"/>
    <n v="50"/>
    <n v="57.999999999999993"/>
    <n v="2.625"/>
    <n v="0"/>
    <s v="Circ 1"/>
    <n v="2.625"/>
    <n v="0"/>
    <s v="AD BA"/>
    <n v="2.8125"/>
    <n v="0"/>
    <s v="Circ 1"/>
    <n v="2.8125"/>
    <n v="0"/>
    <s v="Client"/>
    <n v="4"/>
    <n v="0"/>
    <s v="Circ 1"/>
    <n v="4"/>
    <n v="0"/>
    <n v="5.4375"/>
    <n v="0"/>
    <n v="2.625"/>
    <n v="2.8125"/>
    <n v="4"/>
    <n v="9.4375"/>
    <n v="0"/>
    <x v="53"/>
    <n v="48.298249999999996"/>
    <n v="0"/>
    <n v="48.298249999999996"/>
    <s v="Circ 1"/>
    <n v="0"/>
    <n v="0"/>
    <n v="0"/>
    <n v="0"/>
    <n v="0"/>
    <n v="150.37712500000001"/>
    <n v="0"/>
    <n v="1207.45625"/>
    <n v="23.410920258620688"/>
    <s v="VAR"/>
    <n v="2.6985000000000001"/>
    <n v="23.410920258620688"/>
    <n v="1357.8333749999997"/>
    <s v="Circ 1"/>
  </r>
  <r>
    <x v="1"/>
    <s v="05"/>
    <s v="EcoTi-05"/>
    <x v="5"/>
    <n v="100"/>
    <x v="8"/>
    <x v="12"/>
    <x v="2"/>
    <x v="0"/>
    <n v="1160"/>
    <n v="100"/>
    <n v="115.99999999999999"/>
    <n v="5.25"/>
    <n v="0"/>
    <s v="Circ 1"/>
    <n v="5.25"/>
    <n v="0"/>
    <s v="AD BA"/>
    <n v="5.625"/>
    <n v="0"/>
    <s v="Circ 1"/>
    <n v="5.625"/>
    <n v="0"/>
    <s v="Client"/>
    <n v="8"/>
    <n v="0"/>
    <s v="Circ 1"/>
    <n v="8"/>
    <n v="0"/>
    <n v="10.875"/>
    <n v="0"/>
    <n v="5.25"/>
    <n v="5.625"/>
    <n v="8"/>
    <n v="18.875"/>
    <n v="0"/>
    <x v="54"/>
    <n v="96.596499999999992"/>
    <n v="0"/>
    <n v="96.596499999999992"/>
    <s v="Circ 1"/>
    <n v="0"/>
    <n v="0"/>
    <n v="0"/>
    <n v="0"/>
    <n v="0"/>
    <n v="300.75425000000001"/>
    <n v="0"/>
    <n v="2414.9124999999999"/>
    <n v="23.410920258620688"/>
    <s v="VAR"/>
    <n v="5.3970000000000002"/>
    <n v="23.410920258620688"/>
    <n v="2715.6667499999994"/>
    <s v="Circ 1"/>
  </r>
  <r>
    <x v="1"/>
    <s v="05"/>
    <s v="EcoTi-05"/>
    <x v="6"/>
    <n v="400"/>
    <x v="8"/>
    <x v="12"/>
    <x v="2"/>
    <x v="0"/>
    <n v="1160"/>
    <n v="400"/>
    <n v="463.99999999999994"/>
    <n v="21"/>
    <n v="0"/>
    <s v="Circ 1"/>
    <n v="21"/>
    <n v="0"/>
    <s v="AD BA"/>
    <n v="22.5"/>
    <n v="0"/>
    <s v="Circ 1"/>
    <n v="22.5"/>
    <n v="0"/>
    <s v="Client"/>
    <n v="32"/>
    <n v="0"/>
    <s v="Circ 1"/>
    <n v="32"/>
    <n v="0"/>
    <n v="43.5"/>
    <n v="0"/>
    <n v="21"/>
    <n v="22.5"/>
    <n v="32"/>
    <n v="75.5"/>
    <n v="0"/>
    <x v="55"/>
    <n v="386.38599999999997"/>
    <n v="0"/>
    <n v="386.38599999999997"/>
    <s v="Circ 1"/>
    <n v="0"/>
    <n v="0"/>
    <n v="0"/>
    <n v="0"/>
    <n v="0"/>
    <n v="1203.0170000000001"/>
    <n v="0"/>
    <n v="9659.65"/>
    <n v="23.410920258620688"/>
    <s v="VAR"/>
    <n v="21.588000000000001"/>
    <n v="23.410920258620688"/>
    <n v="10862.666999999998"/>
    <s v="Circ 1"/>
  </r>
  <r>
    <x v="1"/>
    <s v="05"/>
    <s v="EcoTi-05"/>
    <x v="7"/>
    <n v="600"/>
    <x v="8"/>
    <x v="12"/>
    <x v="2"/>
    <x v="0"/>
    <n v="1160"/>
    <n v="600"/>
    <n v="696"/>
    <n v="31.5"/>
    <n v="0"/>
    <s v="Circ 1"/>
    <n v="31.5"/>
    <n v="0"/>
    <s v="AD BA"/>
    <n v="33.75"/>
    <n v="0"/>
    <s v="Circ 1"/>
    <n v="33.75"/>
    <n v="0"/>
    <s v="Client"/>
    <n v="48"/>
    <n v="0"/>
    <s v="Circ 1"/>
    <n v="48"/>
    <n v="0"/>
    <n v="65.25"/>
    <n v="0"/>
    <n v="31.5"/>
    <n v="33.75"/>
    <n v="48"/>
    <n v="113.25"/>
    <n v="0"/>
    <x v="56"/>
    <n v="579.57899999999995"/>
    <n v="0"/>
    <n v="579.57899999999995"/>
    <s v="Circ 1"/>
    <n v="0"/>
    <n v="0"/>
    <n v="0"/>
    <n v="0"/>
    <n v="0"/>
    <n v="1804.5255000000002"/>
    <n v="0"/>
    <n v="14489.474999999999"/>
    <n v="23.410920258620688"/>
    <s v="VAR"/>
    <n v="32.381999999999998"/>
    <n v="23.410920258620688"/>
    <n v="16294.000499999998"/>
    <s v="Circ 1"/>
  </r>
  <r>
    <x v="1"/>
    <s v="05"/>
    <s v="EcoTi-05"/>
    <x v="8"/>
    <n v="650"/>
    <x v="8"/>
    <x v="12"/>
    <x v="2"/>
    <x v="0"/>
    <n v="1160"/>
    <n v="650"/>
    <n v="754"/>
    <n v="34.125"/>
    <n v="0"/>
    <s v="Circ 1"/>
    <n v="34.125"/>
    <n v="0"/>
    <s v="AD BA"/>
    <n v="36.5625"/>
    <n v="0"/>
    <s v="Circ 1"/>
    <n v="36.5625"/>
    <n v="0"/>
    <s v="Client"/>
    <n v="52"/>
    <n v="0"/>
    <s v="Circ 1"/>
    <n v="52"/>
    <n v="0"/>
    <n v="70.6875"/>
    <n v="0"/>
    <n v="34.125"/>
    <n v="36.5625"/>
    <n v="52"/>
    <n v="122.6875"/>
    <n v="0"/>
    <x v="57"/>
    <n v="627.87725"/>
    <n v="0"/>
    <n v="627.87725"/>
    <s v="Circ 1"/>
    <n v="0"/>
    <n v="0"/>
    <n v="0"/>
    <n v="0"/>
    <n v="0"/>
    <n v="1954.9026250000002"/>
    <n v="0"/>
    <n v="15696.93125"/>
    <n v="23.410920258620688"/>
    <s v="VAR"/>
    <n v="35.080500000000001"/>
    <n v="23.410920258620688"/>
    <n v="17651.833875"/>
    <s v="Circ 1"/>
  </r>
  <r>
    <x v="1"/>
    <s v="05"/>
    <s v="EcoTi-05"/>
    <x v="9"/>
    <n v="650"/>
    <x v="8"/>
    <x v="12"/>
    <x v="2"/>
    <x v="0"/>
    <n v="1160"/>
    <n v="650"/>
    <n v="754"/>
    <n v="34.125"/>
    <n v="0"/>
    <s v="Circ 1"/>
    <n v="34.125"/>
    <n v="0"/>
    <s v="AD BA"/>
    <n v="36.5625"/>
    <n v="0"/>
    <s v="Circ 1"/>
    <n v="36.5625"/>
    <n v="0"/>
    <s v="Client"/>
    <n v="52"/>
    <n v="0"/>
    <s v="Circ 1"/>
    <n v="52"/>
    <n v="0"/>
    <n v="70.6875"/>
    <n v="0"/>
    <n v="34.125"/>
    <n v="36.5625"/>
    <n v="52"/>
    <n v="122.6875"/>
    <n v="0"/>
    <x v="57"/>
    <n v="627.87725"/>
    <n v="0"/>
    <n v="627.87725"/>
    <s v="Circ 1"/>
    <n v="0"/>
    <n v="0"/>
    <n v="0"/>
    <n v="0"/>
    <n v="0"/>
    <n v="1954.9026250000002"/>
    <n v="0"/>
    <n v="15696.93125"/>
    <n v="23.410920258620688"/>
    <s v="VAR"/>
    <n v="35.080500000000001"/>
    <n v="23.410920258620688"/>
    <n v="17651.833875"/>
    <s v="Circ 1"/>
  </r>
  <r>
    <x v="1"/>
    <s v="05"/>
    <s v="EcoTi-05"/>
    <x v="10"/>
    <n v="650"/>
    <x v="8"/>
    <x v="12"/>
    <x v="2"/>
    <x v="0"/>
    <n v="1160"/>
    <n v="650"/>
    <n v="754"/>
    <n v="34.125"/>
    <n v="0"/>
    <s v="Circ 1"/>
    <n v="34.125"/>
    <n v="0"/>
    <s v="AD BA"/>
    <n v="36.5625"/>
    <n v="0"/>
    <s v="Circ 1"/>
    <n v="36.5625"/>
    <n v="0"/>
    <s v="Client"/>
    <n v="52"/>
    <n v="0"/>
    <s v="Circ 1"/>
    <n v="52"/>
    <n v="0"/>
    <n v="70.6875"/>
    <n v="0"/>
    <n v="34.125"/>
    <n v="36.5625"/>
    <n v="52"/>
    <n v="122.6875"/>
    <n v="0"/>
    <x v="57"/>
    <n v="627.87725"/>
    <n v="0"/>
    <n v="627.87725"/>
    <s v="Circ 1"/>
    <n v="0"/>
    <n v="0"/>
    <n v="0"/>
    <n v="0"/>
    <n v="0"/>
    <n v="1954.9026250000002"/>
    <n v="0"/>
    <n v="15696.93125"/>
    <n v="23.410920258620688"/>
    <s v="VAR"/>
    <n v="35.080500000000001"/>
    <n v="23.410920258620688"/>
    <n v="17651.833875"/>
    <s v="Circ 1"/>
  </r>
  <r>
    <x v="1"/>
    <s v="05"/>
    <s v="EcoTi-05"/>
    <x v="11"/>
    <n v="650"/>
    <x v="8"/>
    <x v="12"/>
    <x v="2"/>
    <x v="0"/>
    <n v="1160"/>
    <n v="650"/>
    <n v="754"/>
    <n v="34.125"/>
    <n v="0"/>
    <s v="Circ 1"/>
    <n v="34.125"/>
    <n v="0"/>
    <s v="AD BA"/>
    <n v="36.5625"/>
    <n v="0"/>
    <s v="Circ 1"/>
    <n v="36.5625"/>
    <n v="0"/>
    <s v="Client"/>
    <n v="52"/>
    <n v="0"/>
    <s v="Circ 1"/>
    <n v="52"/>
    <n v="0"/>
    <n v="70.6875"/>
    <n v="0"/>
    <n v="34.125"/>
    <n v="36.5625"/>
    <n v="52"/>
    <n v="122.6875"/>
    <n v="0"/>
    <x v="57"/>
    <n v="627.87725"/>
    <n v="0"/>
    <n v="627.87725"/>
    <s v="Circ 1"/>
    <n v="0"/>
    <n v="0"/>
    <n v="0"/>
    <n v="0"/>
    <n v="0"/>
    <n v="1954.9026250000002"/>
    <n v="0"/>
    <n v="15696.93125"/>
    <n v="23.410920258620688"/>
    <s v="VAR"/>
    <n v="35.080500000000001"/>
    <n v="23.410920258620688"/>
    <n v="17651.833875"/>
    <s v="Circ 1"/>
  </r>
  <r>
    <x v="1"/>
    <s v="05"/>
    <s v="EcoTi-05"/>
    <x v="12"/>
    <n v="650"/>
    <x v="8"/>
    <x v="12"/>
    <x v="2"/>
    <x v="0"/>
    <n v="1160"/>
    <n v="650"/>
    <n v="754"/>
    <n v="34.125"/>
    <n v="0"/>
    <s v="Circ 1"/>
    <n v="34.125"/>
    <n v="0"/>
    <s v="AD BA"/>
    <n v="36.5625"/>
    <n v="0"/>
    <s v="Circ 1"/>
    <n v="36.5625"/>
    <n v="0"/>
    <s v="Client"/>
    <n v="52"/>
    <n v="0"/>
    <s v="Circ 1"/>
    <n v="52"/>
    <n v="0"/>
    <n v="70.6875"/>
    <n v="0"/>
    <n v="34.125"/>
    <n v="36.5625"/>
    <n v="52"/>
    <n v="122.6875"/>
    <n v="0"/>
    <x v="57"/>
    <n v="627.87725"/>
    <n v="0"/>
    <n v="627.87725"/>
    <s v="Circ 1"/>
    <n v="0"/>
    <n v="0"/>
    <n v="0"/>
    <n v="0"/>
    <n v="0"/>
    <n v="1954.9026250000002"/>
    <n v="0"/>
    <n v="15696.93125"/>
    <n v="23.410920258620688"/>
    <s v="VAR"/>
    <n v="35.080500000000001"/>
    <n v="23.410920258620688"/>
    <n v="17651.833875"/>
    <s v="Circ 1"/>
  </r>
  <r>
    <x v="1"/>
    <s v="06"/>
    <s v="EcoTi-06"/>
    <x v="4"/>
    <n v="50"/>
    <x v="6"/>
    <x v="13"/>
    <x v="2"/>
    <x v="1"/>
    <n v="1411"/>
    <n v="50"/>
    <n v="70.55"/>
    <n v="2.625"/>
    <n v="0"/>
    <s v="Circ 1"/>
    <n v="2.625"/>
    <n v="0"/>
    <s v="BA pour UKAD"/>
    <n v="2.8125"/>
    <n v="0"/>
    <s v="Circ 1"/>
    <n v="2.8125"/>
    <n v="0"/>
    <s v="Client"/>
    <n v="0"/>
    <n v="0"/>
    <s v="Circ 1"/>
    <n v="0"/>
    <n v="0"/>
    <n v="5.4375"/>
    <n v="0"/>
    <n v="2.625"/>
    <n v="2.8125"/>
    <n v="0"/>
    <n v="5.4375"/>
    <n v="0"/>
    <x v="25"/>
    <n v="64.960250000000002"/>
    <n v="0"/>
    <n v="64.960250000000002"/>
    <s v="Circ 1"/>
    <n v="0"/>
    <n v="0"/>
    <n v="0"/>
    <n v="0"/>
    <n v="0"/>
    <n v="86.641125000000002"/>
    <n v="0"/>
    <n v="1624.0062500000001"/>
    <n v="24.247305102764003"/>
    <s v="VAR"/>
    <n v="2.6985000000000001"/>
    <n v="24.247305102764003"/>
    <n v="1710.6473750000002"/>
    <s v="Circ 1"/>
  </r>
  <r>
    <x v="1"/>
    <s v="06"/>
    <s v="EcoTi-06"/>
    <x v="5"/>
    <n v="150"/>
    <x v="6"/>
    <x v="13"/>
    <x v="2"/>
    <x v="1"/>
    <n v="1411"/>
    <n v="150"/>
    <n v="211.65"/>
    <n v="7.875"/>
    <n v="0"/>
    <s v="Circ 1"/>
    <n v="7.875"/>
    <n v="0"/>
    <s v="BA pour UKAD"/>
    <n v="8.4375"/>
    <n v="0"/>
    <s v="Circ 1"/>
    <n v="8.4375"/>
    <n v="0"/>
    <s v="Client"/>
    <n v="0"/>
    <n v="0"/>
    <s v="Circ 1"/>
    <n v="0"/>
    <n v="0"/>
    <n v="16.3125"/>
    <n v="0"/>
    <n v="7.875"/>
    <n v="8.4375"/>
    <n v="0"/>
    <n v="16.3125"/>
    <n v="0"/>
    <x v="28"/>
    <n v="194.88074999999998"/>
    <n v="0"/>
    <n v="194.88074999999998"/>
    <s v="Circ 1"/>
    <n v="0"/>
    <n v="0"/>
    <n v="0"/>
    <n v="0"/>
    <n v="0"/>
    <n v="259.92337499999996"/>
    <n v="0"/>
    <n v="4872.0187499999993"/>
    <n v="24.247305102763999"/>
    <s v="VAR"/>
    <n v="8.0954999999999995"/>
    <n v="24.247305102763999"/>
    <n v="5131.9421250000005"/>
    <s v="Circ 1"/>
  </r>
  <r>
    <x v="1"/>
    <s v="06"/>
    <s v="EcoTi-06"/>
    <x v="6"/>
    <n v="300"/>
    <x v="6"/>
    <x v="13"/>
    <x v="2"/>
    <x v="1"/>
    <n v="1411"/>
    <n v="300"/>
    <n v="423.3"/>
    <n v="15.75"/>
    <n v="0"/>
    <s v="Circ 1"/>
    <n v="15.75"/>
    <n v="0"/>
    <s v="BA pour UKAD"/>
    <n v="16.875"/>
    <n v="0"/>
    <s v="Circ 1"/>
    <n v="16.875"/>
    <n v="0"/>
    <s v="Client"/>
    <n v="0"/>
    <n v="0"/>
    <s v="Circ 1"/>
    <n v="0"/>
    <n v="0"/>
    <n v="32.625"/>
    <n v="0"/>
    <n v="15.75"/>
    <n v="16.875"/>
    <n v="0"/>
    <n v="32.625"/>
    <n v="0"/>
    <x v="58"/>
    <n v="389.76149999999996"/>
    <n v="0"/>
    <n v="389.76149999999996"/>
    <s v="Circ 1"/>
    <n v="0"/>
    <n v="0"/>
    <n v="0"/>
    <n v="0"/>
    <n v="0"/>
    <n v="519.84674999999993"/>
    <n v="0"/>
    <n v="9744.0374999999985"/>
    <n v="24.247305102763999"/>
    <s v="VAR"/>
    <n v="16.190999999999999"/>
    <n v="24.247305102763999"/>
    <n v="10263.884250000001"/>
    <s v="Circ 1"/>
  </r>
  <r>
    <x v="1"/>
    <s v="06"/>
    <s v="EcoTi-06"/>
    <x v="7"/>
    <n v="300"/>
    <x v="6"/>
    <x v="13"/>
    <x v="2"/>
    <x v="1"/>
    <n v="1411"/>
    <n v="300"/>
    <n v="423.3"/>
    <n v="15.75"/>
    <n v="0"/>
    <s v="Circ 1"/>
    <n v="15.75"/>
    <n v="0"/>
    <s v="BA pour UKAD"/>
    <n v="16.875"/>
    <n v="0"/>
    <s v="Circ 1"/>
    <n v="16.875"/>
    <n v="0"/>
    <s v="Client"/>
    <n v="0"/>
    <n v="0"/>
    <s v="Circ 1"/>
    <n v="0"/>
    <n v="0"/>
    <n v="32.625"/>
    <n v="0"/>
    <n v="15.75"/>
    <n v="16.875"/>
    <n v="0"/>
    <n v="32.625"/>
    <n v="0"/>
    <x v="58"/>
    <n v="389.76149999999996"/>
    <n v="0"/>
    <n v="389.76149999999996"/>
    <s v="Circ 1"/>
    <n v="0"/>
    <n v="0"/>
    <n v="0"/>
    <n v="0"/>
    <n v="0"/>
    <n v="519.84674999999993"/>
    <n v="0"/>
    <n v="9744.0374999999985"/>
    <n v="24.247305102763999"/>
    <s v="VAR"/>
    <n v="16.190999999999999"/>
    <n v="24.247305102763999"/>
    <n v="10263.884250000001"/>
    <s v="Circ 1"/>
  </r>
  <r>
    <x v="1"/>
    <s v="06"/>
    <s v="EcoTi-06"/>
    <x v="8"/>
    <n v="300"/>
    <x v="6"/>
    <x v="13"/>
    <x v="2"/>
    <x v="1"/>
    <n v="1411"/>
    <n v="300"/>
    <n v="423.3"/>
    <n v="15.75"/>
    <n v="0"/>
    <s v="Circ 1"/>
    <n v="15.75"/>
    <n v="0"/>
    <s v="BA pour UKAD"/>
    <n v="16.875"/>
    <n v="0"/>
    <s v="Circ 1"/>
    <n v="16.875"/>
    <n v="0"/>
    <s v="Client"/>
    <n v="0"/>
    <n v="0"/>
    <s v="Circ 1"/>
    <n v="0"/>
    <n v="0"/>
    <n v="32.625"/>
    <n v="0"/>
    <n v="15.75"/>
    <n v="16.875"/>
    <n v="0"/>
    <n v="32.625"/>
    <n v="0"/>
    <x v="58"/>
    <n v="389.76149999999996"/>
    <n v="0"/>
    <n v="389.76149999999996"/>
    <s v="Circ 1"/>
    <n v="0"/>
    <n v="0"/>
    <n v="0"/>
    <n v="0"/>
    <n v="0"/>
    <n v="519.84674999999993"/>
    <n v="0"/>
    <n v="9744.0374999999985"/>
    <n v="24.247305102763999"/>
    <s v="VAR"/>
    <n v="16.190999999999999"/>
    <n v="24.247305102763999"/>
    <n v="10263.884250000001"/>
    <s v="Circ 1"/>
  </r>
  <r>
    <x v="1"/>
    <s v="06"/>
    <s v="EcoTi-06"/>
    <x v="9"/>
    <n v="300"/>
    <x v="6"/>
    <x v="13"/>
    <x v="2"/>
    <x v="1"/>
    <n v="1411"/>
    <n v="300"/>
    <n v="423.3"/>
    <n v="15.75"/>
    <n v="0"/>
    <s v="Circ 1"/>
    <n v="15.75"/>
    <n v="0"/>
    <s v="BA pour UKAD"/>
    <n v="16.875"/>
    <n v="0"/>
    <s v="Circ 1"/>
    <n v="16.875"/>
    <n v="0"/>
    <s v="Client"/>
    <n v="0"/>
    <n v="0"/>
    <s v="Circ 1"/>
    <n v="0"/>
    <n v="0"/>
    <n v="32.625"/>
    <n v="0"/>
    <n v="15.75"/>
    <n v="16.875"/>
    <n v="0"/>
    <n v="32.625"/>
    <n v="0"/>
    <x v="58"/>
    <n v="389.76149999999996"/>
    <n v="0"/>
    <n v="389.76149999999996"/>
    <s v="Circ 1"/>
    <n v="0"/>
    <n v="0"/>
    <n v="0"/>
    <n v="0"/>
    <n v="0"/>
    <n v="519.84674999999993"/>
    <n v="0"/>
    <n v="9744.0374999999985"/>
    <n v="24.247305102763999"/>
    <s v="VAR"/>
    <n v="16.190999999999999"/>
    <n v="24.247305102763999"/>
    <n v="10263.884250000001"/>
    <s v="Circ 1"/>
  </r>
  <r>
    <x v="1"/>
    <s v="06"/>
    <s v="EcoTi-06"/>
    <x v="10"/>
    <n v="300"/>
    <x v="6"/>
    <x v="13"/>
    <x v="2"/>
    <x v="1"/>
    <n v="1411"/>
    <n v="300"/>
    <n v="423.3"/>
    <n v="15.75"/>
    <n v="0"/>
    <s v="Circ 1"/>
    <n v="15.75"/>
    <n v="0"/>
    <s v="BA pour UKAD"/>
    <n v="16.875"/>
    <n v="0"/>
    <s v="Circ 1"/>
    <n v="16.875"/>
    <n v="0"/>
    <s v="Client"/>
    <n v="0"/>
    <n v="0"/>
    <s v="Circ 1"/>
    <n v="0"/>
    <n v="0"/>
    <n v="32.625"/>
    <n v="0"/>
    <n v="15.75"/>
    <n v="16.875"/>
    <n v="0"/>
    <n v="32.625"/>
    <n v="0"/>
    <x v="58"/>
    <n v="389.76149999999996"/>
    <n v="0"/>
    <n v="389.76149999999996"/>
    <s v="Circ 1"/>
    <n v="0"/>
    <n v="0"/>
    <n v="0"/>
    <n v="0"/>
    <n v="0"/>
    <n v="519.84674999999993"/>
    <n v="0"/>
    <n v="9744.0374999999985"/>
    <n v="24.247305102763999"/>
    <s v="VAR"/>
    <n v="16.190999999999999"/>
    <n v="24.247305102763999"/>
    <n v="10263.884250000001"/>
    <s v="Circ 1"/>
  </r>
  <r>
    <x v="1"/>
    <s v="06"/>
    <s v="EcoTi-06"/>
    <x v="11"/>
    <n v="300"/>
    <x v="6"/>
    <x v="13"/>
    <x v="2"/>
    <x v="1"/>
    <n v="1411"/>
    <n v="300"/>
    <n v="423.3"/>
    <n v="15.75"/>
    <n v="0"/>
    <s v="Circ 1"/>
    <n v="15.75"/>
    <n v="0"/>
    <s v="BA pour UKAD"/>
    <n v="16.875"/>
    <n v="0"/>
    <s v="Circ 1"/>
    <n v="16.875"/>
    <n v="0"/>
    <s v="Client"/>
    <n v="0"/>
    <n v="0"/>
    <s v="Circ 1"/>
    <n v="0"/>
    <n v="0"/>
    <n v="32.625"/>
    <n v="0"/>
    <n v="15.75"/>
    <n v="16.875"/>
    <n v="0"/>
    <n v="32.625"/>
    <n v="0"/>
    <x v="58"/>
    <n v="389.76149999999996"/>
    <n v="0"/>
    <n v="389.76149999999996"/>
    <s v="Circ 1"/>
    <n v="0"/>
    <n v="0"/>
    <n v="0"/>
    <n v="0"/>
    <n v="0"/>
    <n v="519.84674999999993"/>
    <n v="0"/>
    <n v="9744.0374999999985"/>
    <n v="24.247305102763999"/>
    <s v="VAR"/>
    <n v="16.190999999999999"/>
    <n v="24.247305102763999"/>
    <n v="10263.884250000001"/>
    <s v="Circ 1"/>
  </r>
  <r>
    <x v="1"/>
    <s v="06"/>
    <s v="EcoTi-06"/>
    <x v="12"/>
    <n v="300"/>
    <x v="6"/>
    <x v="13"/>
    <x v="2"/>
    <x v="1"/>
    <n v="1411"/>
    <n v="300"/>
    <n v="423.3"/>
    <n v="15.75"/>
    <n v="0"/>
    <s v="Circ 1"/>
    <n v="15.75"/>
    <n v="0"/>
    <s v="BA pour UKAD"/>
    <n v="16.875"/>
    <n v="0"/>
    <s v="Circ 1"/>
    <n v="16.875"/>
    <n v="0"/>
    <s v="Client"/>
    <n v="0"/>
    <n v="0"/>
    <s v="Circ 1"/>
    <n v="0"/>
    <n v="0"/>
    <n v="32.625"/>
    <n v="0"/>
    <n v="15.75"/>
    <n v="16.875"/>
    <n v="0"/>
    <n v="32.625"/>
    <n v="0"/>
    <x v="58"/>
    <n v="389.76149999999996"/>
    <n v="0"/>
    <n v="389.76149999999996"/>
    <s v="Circ 1"/>
    <n v="0"/>
    <n v="0"/>
    <n v="0"/>
    <n v="0"/>
    <n v="0"/>
    <n v="519.84674999999993"/>
    <n v="0"/>
    <n v="9744.0374999999985"/>
    <n v="24.247305102763999"/>
    <s v="VAR"/>
    <n v="16.190999999999999"/>
    <n v="24.247305102763999"/>
    <n v="10263.884250000001"/>
    <s v="Circ 1"/>
  </r>
  <r>
    <x v="1"/>
    <s v="07"/>
    <s v="EcoTi-07"/>
    <x v="4"/>
    <n v="490"/>
    <x v="9"/>
    <x v="14"/>
    <x v="1"/>
    <x v="0"/>
    <n v="1210"/>
    <n v="490"/>
    <n v="592.9"/>
    <n v="25.724999999999994"/>
    <n v="28.297499999999999"/>
    <s v="Circ 1"/>
    <n v="25.724999999999994"/>
    <n v="16.9785"/>
    <s v="SO"/>
    <n v="0"/>
    <n v="0"/>
    <s v="Circ 1"/>
    <n v="0"/>
    <n v="0"/>
    <s v="SO"/>
    <n v="0"/>
    <n v="0"/>
    <s v="Circ 1"/>
    <n v="0"/>
    <n v="0"/>
    <n v="25.724999999999994"/>
    <n v="28.297499999999999"/>
    <n v="54.022499999999994"/>
    <n v="0"/>
    <n v="0"/>
    <n v="25.724999999999994"/>
    <n v="28.297499999999999"/>
    <x v="59"/>
    <n v="542.20374249999998"/>
    <n v="406.47481574999995"/>
    <n v="135.72892675000003"/>
    <s v="Corrosion"/>
    <n v="243.99149999999997"/>
    <n v="181.62375"/>
    <n v="406.47481574999995"/>
    <n v="243.99149999999997"/>
    <n v="108.97425"/>
    <n v="887.18450624999991"/>
    <n v="6300.3596441249992"/>
    <n v="3393.2231687500007"/>
    <n v="17.845787348836229"/>
    <s v="VAR"/>
    <n v="50.696257499999994"/>
    <n v="17.845787348836229"/>
    <n v="10580.767319125"/>
    <s v="Corrosion"/>
  </r>
  <r>
    <x v="1"/>
    <s v="07"/>
    <s v="EcoTi-07"/>
    <x v="5"/>
    <n v="490"/>
    <x v="9"/>
    <x v="14"/>
    <x v="1"/>
    <x v="0"/>
    <n v="1210"/>
    <n v="490"/>
    <n v="592.9"/>
    <n v="25.724999999999994"/>
    <n v="28.297499999999999"/>
    <s v="Circ 1"/>
    <n v="25.724999999999994"/>
    <n v="16.9785"/>
    <s v="SO"/>
    <n v="0"/>
    <n v="0"/>
    <s v="Circ 1"/>
    <n v="0"/>
    <n v="0"/>
    <s v="SO"/>
    <n v="0"/>
    <n v="0"/>
    <s v="Circ 1"/>
    <n v="0"/>
    <n v="0"/>
    <n v="25.724999999999994"/>
    <n v="28.297499999999999"/>
    <n v="54.022499999999994"/>
    <n v="0"/>
    <n v="0"/>
    <n v="25.724999999999994"/>
    <n v="28.297499999999999"/>
    <x v="59"/>
    <n v="542.20374249999998"/>
    <n v="480.51714074999995"/>
    <n v="61.686601750000023"/>
    <s v="Corrosion"/>
    <n v="282.31649999999996"/>
    <n v="222.04874999999998"/>
    <n v="480.51714074999995"/>
    <n v="282.31649999999996"/>
    <n v="133.22924999999998"/>
    <n v="887.18450624999991"/>
    <n v="7448.0156816249992"/>
    <n v="1542.1650437500007"/>
    <n v="16.659411758517457"/>
    <s v="VAR"/>
    <n v="50.696257499999994"/>
    <n v="17.5"/>
    <n v="10375.75"/>
    <s v="Corrosion"/>
  </r>
  <r>
    <x v="1"/>
    <s v="07"/>
    <s v="EcoTi-07"/>
    <x v="6"/>
    <n v="800"/>
    <x v="9"/>
    <x v="14"/>
    <x v="1"/>
    <x v="0"/>
    <n v="1210"/>
    <n v="800"/>
    <n v="968"/>
    <n v="41.999999999999993"/>
    <n v="46.199999999999996"/>
    <s v="Circ 1"/>
    <n v="41.999999999999993"/>
    <n v="27.719999999999995"/>
    <s v="SO"/>
    <n v="0"/>
    <n v="0"/>
    <s v="Circ 1"/>
    <n v="0"/>
    <n v="0"/>
    <s v="SO"/>
    <n v="0"/>
    <n v="0"/>
    <s v="Circ 1"/>
    <n v="0"/>
    <n v="0"/>
    <n v="41.999999999999993"/>
    <n v="46.199999999999996"/>
    <n v="88.199999999999989"/>
    <n v="0"/>
    <n v="0"/>
    <n v="41.999999999999993"/>
    <n v="46.199999999999996"/>
    <x v="19"/>
    <n v="885.23060000000009"/>
    <n v="511.55566575"/>
    <n v="373.67493425000009"/>
    <s v="Corrosion"/>
    <n v="298.06649999999996"/>
    <n v="239.37375"/>
    <n v="511.55566575"/>
    <n v="298.06649999999996"/>
    <n v="143.62424999999999"/>
    <n v="1448.4644999999998"/>
    <n v="7929.112819125"/>
    <n v="9341.873356250002"/>
    <n v="19.338275491089878"/>
    <s v="VAR"/>
    <n v="82.76939999999999"/>
    <n v="19.338275491089878"/>
    <n v="18719.450675375003"/>
    <s v="Corrosion"/>
  </r>
  <r>
    <x v="1"/>
    <s v="07"/>
    <s v="EcoTi-07"/>
    <x v="7"/>
    <n v="840"/>
    <x v="9"/>
    <x v="14"/>
    <x v="1"/>
    <x v="0"/>
    <n v="1210"/>
    <n v="840"/>
    <n v="1016.4"/>
    <n v="44.099999999999994"/>
    <n v="48.51"/>
    <s v="Circ 1"/>
    <n v="44.099999999999994"/>
    <n v="29.105999999999998"/>
    <s v="SO"/>
    <n v="0"/>
    <n v="0"/>
    <s v="Circ 1"/>
    <n v="0"/>
    <n v="0"/>
    <s v="SO"/>
    <n v="0"/>
    <n v="0"/>
    <s v="Circ 1"/>
    <n v="0"/>
    <n v="0"/>
    <n v="44.099999999999994"/>
    <n v="48.51"/>
    <n v="92.609999999999985"/>
    <n v="0"/>
    <n v="0"/>
    <n v="44.099999999999994"/>
    <n v="48.51"/>
    <x v="60"/>
    <n v="929.49213000000009"/>
    <n v="667.82769074999987"/>
    <n v="261.66443925000021"/>
    <s v="Corrosion"/>
    <n v="377.86649999999997"/>
    <n v="325.99874999999997"/>
    <n v="667.82769074999987"/>
    <n v="377.86649999999997"/>
    <n v="195.59924999999998"/>
    <n v="1520.8877249999998"/>
    <n v="10351.329206624998"/>
    <n v="6541.6109812500054"/>
    <n v="18.116713806449233"/>
    <s v="VAR"/>
    <n v="86.907869999999988"/>
    <n v="18.116713806449233"/>
    <n v="18413.827912875"/>
    <s v="Corrosion"/>
  </r>
  <r>
    <x v="1"/>
    <s v="07"/>
    <s v="EcoTi-07"/>
    <x v="8"/>
    <n v="875"/>
    <x v="9"/>
    <x v="14"/>
    <x v="1"/>
    <x v="0"/>
    <n v="1210"/>
    <n v="875"/>
    <n v="1058.75"/>
    <n v="45.937499999999993"/>
    <n v="50.531249999999993"/>
    <s v="Circ 1"/>
    <n v="45.937499999999993"/>
    <n v="30.318749999999994"/>
    <s v="SO"/>
    <n v="0"/>
    <n v="0"/>
    <s v="Circ 1"/>
    <n v="0"/>
    <n v="0"/>
    <s v="SO"/>
    <n v="0"/>
    <n v="0"/>
    <s v="Circ 1"/>
    <n v="0"/>
    <n v="0"/>
    <n v="45.937499999999993"/>
    <n v="50.531249999999993"/>
    <n v="96.468749999999986"/>
    <n v="0"/>
    <n v="0"/>
    <n v="45.937499999999993"/>
    <n v="50.531249999999993"/>
    <x v="61"/>
    <n v="968.22096875"/>
    <n v="700.48531574999993"/>
    <n v="267.73565300000007"/>
    <s v="Corrosion"/>
    <n v="395.19149999999996"/>
    <n v="343.32374999999996"/>
    <n v="700.48531574999993"/>
    <n v="395.19149999999996"/>
    <n v="205.99424999999997"/>
    <n v="1584.2580468749998"/>
    <n v="10857.522394124999"/>
    <n v="6693.3913250000014"/>
    <n v="18.073361762455725"/>
    <s v="VAR"/>
    <n v="90.529031249999989"/>
    <n v="18.073361762455725"/>
    <n v="19135.171765999999"/>
    <s v="Corrosion"/>
  </r>
  <r>
    <x v="1"/>
    <s v="07"/>
    <s v="EcoTi-07"/>
    <x v="9"/>
    <n v="880"/>
    <x v="9"/>
    <x v="14"/>
    <x v="1"/>
    <x v="0"/>
    <n v="1210"/>
    <n v="880"/>
    <n v="1064.8"/>
    <n v="46.199999999999989"/>
    <n v="50.819999999999993"/>
    <s v="Circ 1"/>
    <n v="46.199999999999989"/>
    <n v="30.491999999999994"/>
    <s v="SO"/>
    <n v="0"/>
    <n v="0"/>
    <s v="Circ 1"/>
    <n v="0"/>
    <n v="0"/>
    <s v="SO"/>
    <n v="0"/>
    <n v="0"/>
    <s v="Circ 1"/>
    <n v="0"/>
    <n v="0"/>
    <n v="46.199999999999989"/>
    <n v="50.819999999999993"/>
    <n v="97.019999999999982"/>
    <n v="0"/>
    <n v="0"/>
    <n v="46.199999999999989"/>
    <n v="50.819999999999993"/>
    <x v="62"/>
    <n v="973.75366000000008"/>
    <n v="700.48531574999993"/>
    <n v="273.26834425000015"/>
    <s v="Corrosion"/>
    <n v="395.19149999999996"/>
    <n v="343.32374999999996"/>
    <n v="700.48531574999993"/>
    <n v="395.19149999999996"/>
    <n v="205.99424999999997"/>
    <n v="1593.3109499999998"/>
    <n v="10857.522394124999"/>
    <n v="6831.7086062500039"/>
    <n v="18.10907395790289"/>
    <s v="VAR"/>
    <n v="91.046339999999987"/>
    <n v="18.10907395790289"/>
    <n v="19282.541950374998"/>
    <s v="Corrosion"/>
  </r>
  <r>
    <x v="1"/>
    <s v="07"/>
    <s v="EcoTi-07"/>
    <x v="10"/>
    <n v="880"/>
    <x v="9"/>
    <x v="14"/>
    <x v="1"/>
    <x v="0"/>
    <n v="1210"/>
    <n v="880"/>
    <n v="1064.8"/>
    <n v="46.199999999999989"/>
    <n v="50.819999999999993"/>
    <s v="Circ 1"/>
    <n v="46.199999999999989"/>
    <n v="30.491999999999994"/>
    <s v="SO"/>
    <n v="0"/>
    <n v="0"/>
    <s v="Circ 1"/>
    <n v="0"/>
    <n v="0"/>
    <s v="SO"/>
    <n v="0"/>
    <n v="0"/>
    <s v="Circ 1"/>
    <n v="0"/>
    <n v="0"/>
    <n v="46.199999999999989"/>
    <n v="50.819999999999993"/>
    <n v="97.019999999999982"/>
    <n v="0"/>
    <n v="0"/>
    <n v="46.199999999999989"/>
    <n v="50.819999999999993"/>
    <x v="62"/>
    <n v="973.75366000000008"/>
    <n v="700.48531574999993"/>
    <n v="273.26834425000015"/>
    <s v="Corrosion"/>
    <n v="395.19149999999996"/>
    <n v="343.32374999999996"/>
    <n v="700.48531574999993"/>
    <n v="395.19149999999996"/>
    <n v="205.99424999999997"/>
    <n v="1593.3109499999998"/>
    <n v="10857.522394124999"/>
    <n v="6831.7086062500039"/>
    <n v="18.10907395790289"/>
    <s v="VAR"/>
    <n v="91.046339999999987"/>
    <n v="18.10907395790289"/>
    <n v="19282.541950374998"/>
    <s v="Corrosion"/>
  </r>
  <r>
    <x v="1"/>
    <s v="07"/>
    <s v="EcoTi-07"/>
    <x v="11"/>
    <n v="885"/>
    <x v="9"/>
    <x v="14"/>
    <x v="1"/>
    <x v="0"/>
    <n v="1210"/>
    <n v="885"/>
    <n v="1070.8499999999999"/>
    <n v="46.462499999999991"/>
    <n v="51.108749999999993"/>
    <s v="Circ 1"/>
    <n v="46.462499999999991"/>
    <n v="30.665249999999993"/>
    <s v="SO"/>
    <n v="0"/>
    <n v="0"/>
    <s v="Circ 1"/>
    <n v="0"/>
    <n v="0"/>
    <s v="SO"/>
    <n v="0"/>
    <n v="0"/>
    <s v="Circ 1"/>
    <n v="0"/>
    <n v="0"/>
    <n v="46.462499999999991"/>
    <n v="51.108749999999993"/>
    <n v="97.571249999999992"/>
    <n v="0"/>
    <n v="0"/>
    <n v="46.462499999999991"/>
    <n v="51.108749999999993"/>
    <x v="63"/>
    <n v="979.28635125000005"/>
    <n v="700.48531574999993"/>
    <n v="278.80103550000013"/>
    <s v="Corrosion"/>
    <n v="395.19149999999996"/>
    <n v="343.32374999999996"/>
    <n v="700.48531574999993"/>
    <n v="395.19149999999996"/>
    <n v="205.99424999999997"/>
    <n v="1602.3638531249999"/>
    <n v="10857.522394124999"/>
    <n v="6970.0258875000036"/>
    <n v="18.144382625717888"/>
    <s v="VAR"/>
    <n v="91.563648749999984"/>
    <n v="18.144382625717888"/>
    <n v="19429.91213475"/>
    <s v="Corrosion"/>
  </r>
  <r>
    <x v="1"/>
    <s v="07"/>
    <s v="EcoTi-07"/>
    <x v="12"/>
    <n v="885"/>
    <x v="9"/>
    <x v="14"/>
    <x v="1"/>
    <x v="0"/>
    <n v="1210"/>
    <n v="885"/>
    <n v="1070.8499999999999"/>
    <n v="46.462499999999991"/>
    <n v="51.108749999999993"/>
    <s v="Circ 1"/>
    <n v="46.462499999999991"/>
    <n v="30.665249999999993"/>
    <s v="SO"/>
    <n v="0"/>
    <n v="0"/>
    <s v="Circ 1"/>
    <n v="0"/>
    <n v="0"/>
    <s v="SO"/>
    <n v="0"/>
    <n v="0"/>
    <s v="Circ 1"/>
    <n v="0"/>
    <n v="0"/>
    <n v="46.462499999999991"/>
    <n v="51.108749999999993"/>
    <n v="97.571249999999992"/>
    <n v="0"/>
    <n v="0"/>
    <n v="46.462499999999991"/>
    <n v="51.108749999999993"/>
    <x v="63"/>
    <n v="979.28635125000005"/>
    <n v="700.48531574999993"/>
    <n v="278.80103550000013"/>
    <s v="Corrosion"/>
    <n v="395.19149999999996"/>
    <n v="343.32374999999996"/>
    <n v="700.48531574999993"/>
    <n v="395.19149999999996"/>
    <n v="205.99424999999997"/>
    <n v="1602.3638531249999"/>
    <n v="10857.522394124999"/>
    <n v="6970.0258875000036"/>
    <n v="18.144382625717888"/>
    <s v="VAR"/>
    <n v="91.563648749999984"/>
    <n v="18.144382625717888"/>
    <n v="19429.91213475"/>
    <s v="Corrosion"/>
  </r>
  <r>
    <x v="1"/>
    <s v="08"/>
    <s v="EcoTi-08"/>
    <x v="4"/>
    <n v="10"/>
    <x v="10"/>
    <x v="15"/>
    <x v="2"/>
    <x v="0"/>
    <n v="1210"/>
    <n v="10"/>
    <n v="12.1"/>
    <n v="0.52499999999999991"/>
    <n v="0.5774999999999999"/>
    <s v="Circ 1"/>
    <n v="0.52499999999999991"/>
    <n v="0.34649999999999992"/>
    <s v="BA pour UKAD"/>
    <n v="0"/>
    <n v="0"/>
    <s v="Circ 1"/>
    <n v="0"/>
    <n v="0"/>
    <s v="Client"/>
    <n v="0"/>
    <n v="0"/>
    <s v="Circ 1"/>
    <n v="0"/>
    <n v="0"/>
    <n v="0.52499999999999991"/>
    <n v="0.5774999999999999"/>
    <n v="1.1024999999999998"/>
    <n v="0"/>
    <n v="0"/>
    <n v="0.52499999999999991"/>
    <n v="0.5774999999999999"/>
    <x v="64"/>
    <n v="11.0653825"/>
    <n v="0"/>
    <n v="11.0653825"/>
    <s v="Circ 1"/>
    <n v="0"/>
    <n v="0"/>
    <n v="0"/>
    <n v="0"/>
    <n v="0"/>
    <n v="16.036571249999998"/>
    <n v="0"/>
    <n v="276.63456250000002"/>
    <n v="24.187697004132232"/>
    <s v="VAR"/>
    <n v="1.0346175"/>
    <n v="24.187697004132232"/>
    <n v="292.67113375000002"/>
    <s v="Circ 1"/>
  </r>
  <r>
    <x v="1"/>
    <s v="08"/>
    <s v="EcoTi-08"/>
    <x v="5"/>
    <n v="30"/>
    <x v="10"/>
    <x v="15"/>
    <x v="2"/>
    <x v="0"/>
    <n v="1210"/>
    <n v="30"/>
    <n v="36.299999999999997"/>
    <n v="1.5749999999999997"/>
    <n v="1.7324999999999999"/>
    <s v="Circ 1"/>
    <n v="1.5749999999999997"/>
    <n v="1.0394999999999999"/>
    <s v="BA pour UKAD"/>
    <n v="0"/>
    <n v="0"/>
    <s v="Circ 1"/>
    <n v="0"/>
    <n v="0"/>
    <s v="Client"/>
    <n v="0"/>
    <n v="0"/>
    <s v="Circ 1"/>
    <n v="0"/>
    <n v="0"/>
    <n v="1.5749999999999997"/>
    <n v="1.7324999999999999"/>
    <n v="3.3074999999999997"/>
    <n v="0"/>
    <n v="0"/>
    <n v="1.5749999999999997"/>
    <n v="1.7324999999999999"/>
    <x v="65"/>
    <n v="33.196147500000002"/>
    <n v="0"/>
    <n v="33.196147500000002"/>
    <s v="Circ 1"/>
    <n v="0"/>
    <n v="0"/>
    <n v="0"/>
    <n v="0"/>
    <n v="0"/>
    <n v="48.109713749999997"/>
    <n v="0"/>
    <n v="829.90368750000005"/>
    <n v="24.187697004132229"/>
    <s v="VAR"/>
    <n v="3.1038524999999995"/>
    <n v="24.187697004132229"/>
    <n v="878.01340124999979"/>
    <s v="Circ 1"/>
  </r>
  <r>
    <x v="1"/>
    <s v="08"/>
    <s v="EcoTi-08"/>
    <x v="6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s v="BA pour UKAD"/>
    <n v="0"/>
    <n v="0"/>
    <s v="Circ 1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x v="15"/>
    <n v="55.326912500000006"/>
    <n v="0"/>
    <n v="55.326912500000006"/>
    <s v="Circ 1"/>
    <n v="0"/>
    <n v="0"/>
    <n v="0"/>
    <n v="0"/>
    <n v="0"/>
    <n v="80.182856249999986"/>
    <n v="0"/>
    <n v="1383.1728125000002"/>
    <n v="24.187697004132232"/>
    <s v="VAR"/>
    <n v="5.1730874999999994"/>
    <n v="24.187697004132232"/>
    <n v="1463.3556687499999"/>
    <s v="Circ 1"/>
  </r>
  <r>
    <x v="1"/>
    <s v="08"/>
    <s v="EcoTi-08"/>
    <x v="7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s v="BA pour UKAD"/>
    <n v="0"/>
    <n v="0"/>
    <s v="Circ 1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x v="15"/>
    <n v="55.326912500000006"/>
    <n v="0"/>
    <n v="55.326912500000006"/>
    <s v="Circ 1"/>
    <n v="0"/>
    <n v="0"/>
    <n v="0"/>
    <n v="0"/>
    <n v="0"/>
    <n v="80.182856249999986"/>
    <n v="0"/>
    <n v="1383.1728125000002"/>
    <n v="24.187697004132232"/>
    <s v="VAR"/>
    <n v="5.1730874999999994"/>
    <n v="24.187697004132232"/>
    <n v="1463.3556687499999"/>
    <s v="Circ 1"/>
  </r>
  <r>
    <x v="1"/>
    <s v="08"/>
    <s v="EcoTi-08"/>
    <x v="8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s v="BA pour UKAD"/>
    <n v="0"/>
    <n v="0"/>
    <s v="Circ 1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x v="15"/>
    <n v="55.326912500000006"/>
    <n v="0"/>
    <n v="55.326912500000006"/>
    <s v="Circ 1"/>
    <n v="0"/>
    <n v="0"/>
    <n v="0"/>
    <n v="0"/>
    <n v="0"/>
    <n v="80.182856249999986"/>
    <n v="0"/>
    <n v="1383.1728125000002"/>
    <n v="24.187697004132232"/>
    <s v="VAR"/>
    <n v="5.1730874999999994"/>
    <n v="24.187697004132232"/>
    <n v="1463.3556687499999"/>
    <s v="Circ 1"/>
  </r>
  <r>
    <x v="1"/>
    <s v="08"/>
    <s v="EcoTi-08"/>
    <x v="9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s v="BA pour UKAD"/>
    <n v="0"/>
    <n v="0"/>
    <s v="Circ 1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x v="15"/>
    <n v="55.326912500000006"/>
    <n v="0"/>
    <n v="55.326912500000006"/>
    <s v="Circ 1"/>
    <n v="0"/>
    <n v="0"/>
    <n v="0"/>
    <n v="0"/>
    <n v="0"/>
    <n v="80.182856249999986"/>
    <n v="0"/>
    <n v="1383.1728125000002"/>
    <n v="24.187697004132232"/>
    <s v="VAR"/>
    <n v="5.1730874999999994"/>
    <n v="24.187697004132232"/>
    <n v="1463.3556687499999"/>
    <s v="Circ 1"/>
  </r>
  <r>
    <x v="1"/>
    <s v="08"/>
    <s v="EcoTi-08"/>
    <x v="10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s v="BA pour UKAD"/>
    <n v="0"/>
    <n v="0"/>
    <s v="Circ 1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x v="15"/>
    <n v="55.326912500000006"/>
    <n v="0"/>
    <n v="55.326912500000006"/>
    <s v="Circ 1"/>
    <n v="0"/>
    <n v="0"/>
    <n v="0"/>
    <n v="0"/>
    <n v="0"/>
    <n v="80.182856249999986"/>
    <n v="0"/>
    <n v="1383.1728125000002"/>
    <n v="24.187697004132232"/>
    <s v="VAR"/>
    <n v="5.1730874999999994"/>
    <n v="24.187697004132232"/>
    <n v="1463.3556687499999"/>
    <s v="Circ 1"/>
  </r>
  <r>
    <x v="1"/>
    <s v="08"/>
    <s v="EcoTi-08"/>
    <x v="11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s v="BA pour UKAD"/>
    <n v="0"/>
    <n v="0"/>
    <s v="Circ 1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x v="15"/>
    <n v="55.326912500000006"/>
    <n v="0"/>
    <n v="55.326912500000006"/>
    <s v="Circ 1"/>
    <n v="0"/>
    <n v="0"/>
    <n v="0"/>
    <n v="0"/>
    <n v="0"/>
    <n v="80.182856249999986"/>
    <n v="0"/>
    <n v="1383.1728125000002"/>
    <n v="24.187697004132232"/>
    <s v="VAR"/>
    <n v="5.1730874999999994"/>
    <n v="24.187697004132232"/>
    <n v="1463.3556687499999"/>
    <s v="Circ 1"/>
  </r>
  <r>
    <x v="1"/>
    <s v="08"/>
    <s v="EcoTi-08"/>
    <x v="12"/>
    <n v="50"/>
    <x v="10"/>
    <x v="15"/>
    <x v="2"/>
    <x v="0"/>
    <n v="1210"/>
    <n v="50"/>
    <n v="60.5"/>
    <n v="2.6249999999999996"/>
    <n v="2.8874999999999997"/>
    <s v="Circ 1"/>
    <n v="2.6249999999999996"/>
    <n v="1.7324999999999997"/>
    <s v="BA pour UKAD"/>
    <n v="0"/>
    <n v="0"/>
    <s v="Circ 1"/>
    <n v="0"/>
    <n v="0"/>
    <s v="Client"/>
    <n v="0"/>
    <n v="0"/>
    <s v="Circ 1"/>
    <n v="0"/>
    <n v="0"/>
    <n v="2.6249999999999996"/>
    <n v="2.8874999999999997"/>
    <n v="5.5124999999999993"/>
    <n v="0"/>
    <n v="0"/>
    <n v="2.6249999999999996"/>
    <n v="2.8874999999999997"/>
    <x v="15"/>
    <n v="55.326912500000006"/>
    <n v="0"/>
    <n v="55.326912500000006"/>
    <s v="Circ 1"/>
    <n v="0"/>
    <n v="0"/>
    <n v="0"/>
    <n v="0"/>
    <n v="0"/>
    <n v="80.182856249999986"/>
    <n v="0"/>
    <n v="1383.1728125000002"/>
    <n v="24.187697004132232"/>
    <s v="VAR"/>
    <n v="5.1730874999999994"/>
    <n v="24.187697004132232"/>
    <n v="1463.3556687499999"/>
    <s v="Circ 1"/>
  </r>
  <r>
    <x v="0"/>
    <s v="09"/>
    <s v="UKTMP-09"/>
    <x v="0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1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2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3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4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5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6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7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8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9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10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11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0"/>
    <s v="09"/>
    <s v="UKTMP-09"/>
    <x v="12"/>
    <n v="0"/>
    <x v="1"/>
    <x v="16"/>
    <x v="1"/>
    <x v="0"/>
    <n v="1210"/>
    <n v="0"/>
    <n v="0"/>
    <n v="0"/>
    <n v="0"/>
    <s v="Marché 1"/>
    <n v="0"/>
    <n v="0"/>
    <s v="SO"/>
    <n v="0"/>
    <n v="0"/>
    <s v="Marché 1"/>
    <n v="0"/>
    <n v="0"/>
    <s v="SO"/>
    <n v="0"/>
    <n v="0"/>
    <s v="Marché 1"/>
    <n v="0"/>
    <n v="0"/>
    <n v="0"/>
    <n v="0"/>
    <n v="0"/>
    <n v="0"/>
    <n v="0"/>
    <n v="0"/>
    <n v="0"/>
    <x v="5"/>
    <n v="0"/>
    <n v="0"/>
    <n v="0"/>
    <s v="SO"/>
    <n v="0"/>
    <n v="0"/>
    <n v="0"/>
    <n v="0"/>
    <n v="0"/>
    <n v="0"/>
    <n v="0"/>
    <n v="0"/>
    <n v="0"/>
    <s v="VAR"/>
    <n v="0"/>
    <n v="0"/>
    <n v="0"/>
    <s v="SO"/>
  </r>
  <r>
    <x v="1"/>
    <s v="09"/>
    <s v="EcoTi-09"/>
    <x v="4"/>
    <n v="0"/>
    <x v="4"/>
    <x v="17"/>
    <x v="3"/>
    <x v="0"/>
    <n v="1210"/>
    <n v="0"/>
    <n v="0"/>
    <n v="0"/>
    <n v="0"/>
    <s v="Circ 1"/>
    <n v="0"/>
    <n v="0"/>
    <s v="AD PAMIERS"/>
    <n v="0"/>
    <n v="0"/>
    <s v="Circ 1"/>
    <n v="0"/>
    <n v="0"/>
    <s v="Client"/>
    <n v="0"/>
    <n v="0"/>
    <s v="Circ 1"/>
    <n v="0"/>
    <n v="0"/>
    <n v="0"/>
    <n v="0"/>
    <n v="0"/>
    <n v="0"/>
    <n v="0"/>
    <n v="0"/>
    <n v="0"/>
    <x v="5"/>
    <n v="0"/>
    <n v="0"/>
    <n v="0"/>
    <s v="Circ 1"/>
    <n v="0"/>
    <n v="0"/>
    <n v="0"/>
    <n v="0"/>
    <n v="0"/>
    <n v="0"/>
    <n v="0"/>
    <n v="0"/>
    <n v="0"/>
    <s v="2xVAR"/>
    <n v="0"/>
    <n v="15.5"/>
    <n v="0"/>
    <s v="Circ 1"/>
  </r>
  <r>
    <x v="1"/>
    <s v="09"/>
    <s v="EcoTi-09"/>
    <x v="5"/>
    <n v="0"/>
    <x v="4"/>
    <x v="17"/>
    <x v="3"/>
    <x v="0"/>
    <n v="1210"/>
    <n v="0"/>
    <n v="0"/>
    <n v="0"/>
    <n v="0"/>
    <s v="Circ 1"/>
    <n v="0"/>
    <n v="0"/>
    <s v="AD PAMIERS"/>
    <n v="0"/>
    <n v="0"/>
    <s v="Circ 1"/>
    <n v="0"/>
    <n v="0"/>
    <s v="Client"/>
    <n v="0"/>
    <n v="0"/>
    <s v="Circ 1"/>
    <n v="0"/>
    <n v="0"/>
    <n v="0"/>
    <n v="0"/>
    <n v="0"/>
    <n v="0"/>
    <n v="0"/>
    <n v="0"/>
    <n v="0"/>
    <x v="5"/>
    <n v="0"/>
    <n v="0"/>
    <n v="0"/>
    <s v="Circ 1"/>
    <n v="0"/>
    <n v="0"/>
    <n v="0"/>
    <n v="0"/>
    <n v="0"/>
    <n v="0"/>
    <n v="0"/>
    <n v="0"/>
    <n v="0"/>
    <s v="2xVAR"/>
    <n v="0"/>
    <n v="15.5"/>
    <n v="0"/>
    <s v="Circ 1"/>
  </r>
  <r>
    <x v="1"/>
    <s v="09"/>
    <s v="EcoTi-09"/>
    <x v="6"/>
    <n v="0"/>
    <x v="4"/>
    <x v="17"/>
    <x v="3"/>
    <x v="0"/>
    <n v="1210"/>
    <n v="0"/>
    <n v="0"/>
    <n v="0"/>
    <n v="0"/>
    <s v="Circ 1"/>
    <n v="0"/>
    <n v="0"/>
    <s v="AD PAMIERS"/>
    <n v="0"/>
    <n v="0"/>
    <s v="Circ 1"/>
    <n v="0"/>
    <n v="0"/>
    <s v="Client"/>
    <n v="0"/>
    <n v="0"/>
    <s v="Circ 1"/>
    <n v="0"/>
    <n v="0"/>
    <n v="0"/>
    <n v="0"/>
    <n v="0"/>
    <n v="0"/>
    <n v="0"/>
    <n v="0"/>
    <n v="0"/>
    <x v="5"/>
    <n v="0"/>
    <n v="0"/>
    <n v="0"/>
    <s v="Circ 1"/>
    <n v="0"/>
    <n v="0"/>
    <n v="0"/>
    <n v="0"/>
    <n v="0"/>
    <n v="0"/>
    <n v="0"/>
    <n v="0"/>
    <n v="0"/>
    <s v="2xVAR"/>
    <n v="0"/>
    <n v="15.5"/>
    <n v="0"/>
    <s v="Circ 1"/>
  </r>
  <r>
    <x v="1"/>
    <s v="09"/>
    <s v="EcoTi-09"/>
    <x v="7"/>
    <n v="0"/>
    <x v="4"/>
    <x v="17"/>
    <x v="3"/>
    <x v="0"/>
    <n v="1210"/>
    <n v="0"/>
    <n v="0"/>
    <n v="0"/>
    <n v="0"/>
    <s v="Circ 1"/>
    <n v="0"/>
    <n v="0"/>
    <s v="AD PAMIERS"/>
    <n v="0"/>
    <n v="0"/>
    <s v="Circ 1"/>
    <n v="0"/>
    <n v="0"/>
    <s v="Client"/>
    <n v="0"/>
    <n v="0"/>
    <s v="Circ 1"/>
    <n v="0"/>
    <n v="0"/>
    <n v="0"/>
    <n v="0"/>
    <n v="0"/>
    <n v="0"/>
    <n v="0"/>
    <n v="0"/>
    <n v="0"/>
    <x v="5"/>
    <n v="0"/>
    <n v="0"/>
    <n v="0"/>
    <s v="Circ 1"/>
    <n v="0"/>
    <n v="0"/>
    <n v="0"/>
    <n v="0"/>
    <n v="0"/>
    <n v="0"/>
    <n v="0"/>
    <n v="0"/>
    <n v="0"/>
    <s v="2xVAR"/>
    <n v="0"/>
    <n v="15.5"/>
    <n v="0"/>
    <s v="Circ 1"/>
  </r>
  <r>
    <x v="1"/>
    <s v="09"/>
    <s v="EcoTi-09"/>
    <x v="8"/>
    <n v="50"/>
    <x v="4"/>
    <x v="17"/>
    <x v="3"/>
    <x v="0"/>
    <n v="1210"/>
    <n v="50"/>
    <n v="60.5"/>
    <n v="2.6249999999999996"/>
    <n v="2.8874999999999997"/>
    <s v="Circ 1"/>
    <n v="2.6249999999999996"/>
    <n v="1.7324999999999997"/>
    <s v="AD PAMIERS"/>
    <n v="2.375"/>
    <n v="18"/>
    <s v="Circ 1"/>
    <n v="2.375"/>
    <n v="10.799999999999999"/>
    <s v="Client"/>
    <n v="0"/>
    <n v="0"/>
    <s v="Circ 1"/>
    <n v="0"/>
    <n v="0"/>
    <n v="5"/>
    <n v="20.887499999999999"/>
    <n v="5.5124999999999993"/>
    <n v="20.375"/>
    <n v="0"/>
    <n v="5"/>
    <n v="20.887499999999999"/>
    <x v="66"/>
    <n v="37.914499999999997"/>
    <n v="0"/>
    <n v="37.914499999999997"/>
    <s v="Circ 1"/>
    <n v="0"/>
    <n v="0"/>
    <n v="0"/>
    <n v="0"/>
    <n v="0"/>
    <n v="350.07525000000004"/>
    <n v="0"/>
    <n v="947.86249999999995"/>
    <n v="21.453516528925622"/>
    <s v="2xVAR"/>
    <n v="5.0714999999999986"/>
    <n v="21.453516528925622"/>
    <n v="1297.9377500000001"/>
    <s v="Circ 1"/>
  </r>
  <r>
    <x v="1"/>
    <s v="09"/>
    <s v="EcoTi-09"/>
    <x v="9"/>
    <n v="100"/>
    <x v="4"/>
    <x v="17"/>
    <x v="3"/>
    <x v="0"/>
    <n v="1210"/>
    <n v="100"/>
    <n v="121"/>
    <n v="5.2499999999999991"/>
    <n v="5.7749999999999995"/>
    <s v="Circ 1"/>
    <n v="5.2499999999999991"/>
    <n v="3.4649999999999994"/>
    <s v="AD PAMIERS"/>
    <n v="4.75"/>
    <n v="36"/>
    <s v="Circ 1"/>
    <n v="4.75"/>
    <n v="21.599999999999998"/>
    <s v="Client"/>
    <n v="0"/>
    <n v="0"/>
    <s v="Circ 1"/>
    <n v="0"/>
    <n v="0"/>
    <n v="10"/>
    <n v="41.774999999999999"/>
    <n v="11.024999999999999"/>
    <n v="40.75"/>
    <n v="0"/>
    <n v="10"/>
    <n v="41.774999999999999"/>
    <x v="67"/>
    <n v="75.828999999999994"/>
    <n v="0"/>
    <n v="75.828999999999994"/>
    <s v="Circ 1"/>
    <n v="0"/>
    <n v="0"/>
    <n v="0"/>
    <n v="0"/>
    <n v="0"/>
    <n v="700.15050000000008"/>
    <n v="0"/>
    <n v="1895.7249999999999"/>
    <n v="21.453516528925622"/>
    <s v="2xVAR"/>
    <n v="10.142999999999997"/>
    <n v="21.453516528925622"/>
    <n v="2595.8755000000001"/>
    <s v="Circ 1"/>
  </r>
  <r>
    <x v="1"/>
    <s v="09"/>
    <s v="EcoTi-09"/>
    <x v="10"/>
    <n v="100"/>
    <x v="4"/>
    <x v="17"/>
    <x v="3"/>
    <x v="0"/>
    <n v="1210"/>
    <n v="100"/>
    <n v="121"/>
    <n v="5.2499999999999991"/>
    <n v="5.7749999999999995"/>
    <s v="Circ 1"/>
    <n v="5.2499999999999991"/>
    <n v="3.4649999999999994"/>
    <s v="AD PAMIERS"/>
    <n v="4.75"/>
    <n v="36"/>
    <s v="Circ 1"/>
    <n v="4.75"/>
    <n v="21.599999999999998"/>
    <s v="Client"/>
    <n v="0"/>
    <n v="0"/>
    <s v="Circ 1"/>
    <n v="0"/>
    <n v="0"/>
    <n v="10"/>
    <n v="41.774999999999999"/>
    <n v="11.024999999999999"/>
    <n v="40.75"/>
    <n v="0"/>
    <n v="10"/>
    <n v="41.774999999999999"/>
    <x v="67"/>
    <n v="75.828999999999994"/>
    <n v="0"/>
    <n v="75.828999999999994"/>
    <s v="Circ 1"/>
    <n v="0"/>
    <n v="0"/>
    <n v="0"/>
    <n v="0"/>
    <n v="0"/>
    <n v="700.15050000000008"/>
    <n v="0"/>
    <n v="1895.7249999999999"/>
    <n v="21.453516528925622"/>
    <s v="2xVAR"/>
    <n v="10.142999999999997"/>
    <n v="21.453516528925622"/>
    <n v="2595.8755000000001"/>
    <s v="Circ 1"/>
  </r>
  <r>
    <x v="1"/>
    <s v="09"/>
    <s v="EcoTi-09"/>
    <x v="11"/>
    <n v="150"/>
    <x v="4"/>
    <x v="17"/>
    <x v="3"/>
    <x v="0"/>
    <n v="1210"/>
    <n v="150"/>
    <n v="181.5"/>
    <n v="7.8749999999999982"/>
    <n v="8.6624999999999996"/>
    <s v="Circ 1"/>
    <n v="7.8749999999999982"/>
    <n v="5.1974999999999998"/>
    <s v="AD PAMIERS"/>
    <n v="7.125"/>
    <n v="54"/>
    <s v="Circ 1"/>
    <n v="7.125"/>
    <n v="32.4"/>
    <s v="Client"/>
    <n v="0"/>
    <n v="0"/>
    <s v="Circ 1"/>
    <n v="0"/>
    <n v="0"/>
    <n v="14.999999999999998"/>
    <n v="62.662500000000001"/>
    <n v="16.537499999999998"/>
    <n v="61.125"/>
    <n v="0"/>
    <n v="14.999999999999998"/>
    <n v="62.662500000000001"/>
    <x v="68"/>
    <n v="113.74349999999998"/>
    <n v="0"/>
    <n v="113.74349999999998"/>
    <s v="Circ 1"/>
    <n v="0"/>
    <n v="0"/>
    <n v="0"/>
    <n v="0"/>
    <n v="0"/>
    <n v="1050.2257500000001"/>
    <n v="0"/>
    <n v="2843.5874999999996"/>
    <n v="21.453516528925618"/>
    <s v="2xVAR"/>
    <n v="15.214499999999997"/>
    <n v="21.453516528925618"/>
    <n v="3893.8132499999997"/>
    <s v="Circ 1"/>
  </r>
  <r>
    <x v="1"/>
    <s v="09"/>
    <s v="EcoTi-09"/>
    <x v="12"/>
    <n v="200"/>
    <x v="4"/>
    <x v="17"/>
    <x v="3"/>
    <x v="0"/>
    <n v="1210"/>
    <n v="200"/>
    <n v="242"/>
    <n v="10.499999999999998"/>
    <n v="11.549999999999999"/>
    <s v="Circ 1"/>
    <n v="10.499999999999998"/>
    <n v="6.9299999999999988"/>
    <s v="AD PAMIERS"/>
    <n v="9.5"/>
    <n v="72"/>
    <s v="Circ 1"/>
    <n v="9.5"/>
    <n v="43.199999999999996"/>
    <s v="Client"/>
    <n v="0"/>
    <n v="0"/>
    <s v="Circ 1"/>
    <n v="0"/>
    <n v="0"/>
    <n v="20"/>
    <n v="83.55"/>
    <n v="22.049999999999997"/>
    <n v="81.5"/>
    <n v="0"/>
    <n v="20"/>
    <n v="83.55"/>
    <x v="69"/>
    <n v="151.65799999999999"/>
    <n v="0"/>
    <n v="151.65799999999999"/>
    <s v="Circ 1"/>
    <n v="0"/>
    <n v="0"/>
    <n v="0"/>
    <n v="0"/>
    <n v="0"/>
    <n v="1400.3010000000002"/>
    <n v="0"/>
    <n v="3791.45"/>
    <n v="21.453516528925622"/>
    <s v="2xVAR"/>
    <n v="20.285999999999994"/>
    <n v="21.453516528925622"/>
    <n v="5191.7510000000002"/>
    <s v="Circ 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9" cacheId="171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83:K87" firstHeaderRow="1" firstDataRow="2" firstDataCol="1" rowPageCount="3" colPageCount="1"/>
  <pivotFields count="56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 defaultSubtotal="0">
      <items count="70">
        <item x="5"/>
        <item x="64"/>
        <item x="23"/>
        <item x="14"/>
        <item x="24"/>
        <item x="51"/>
        <item x="65"/>
        <item x="9"/>
        <item x="15"/>
        <item x="29"/>
        <item x="25"/>
        <item x="26"/>
        <item x="53"/>
        <item x="10"/>
        <item x="30"/>
        <item x="21"/>
        <item x="44"/>
        <item x="27"/>
        <item x="31"/>
        <item x="28"/>
        <item x="54"/>
        <item x="16"/>
        <item x="52"/>
        <item x="32"/>
        <item x="22"/>
        <item x="66"/>
        <item x="45"/>
        <item x="33"/>
        <item x="17"/>
        <item x="34"/>
        <item x="58"/>
        <item x="35"/>
        <item x="67"/>
        <item x="46"/>
        <item x="59"/>
        <item x="6"/>
        <item x="11"/>
        <item x="0"/>
        <item x="7"/>
        <item x="18"/>
        <item x="8"/>
        <item x="68"/>
        <item x="50"/>
        <item x="55"/>
        <item x="41"/>
        <item x="19"/>
        <item x="36"/>
        <item x="60"/>
        <item x="47"/>
        <item x="69"/>
        <item x="61"/>
        <item x="62"/>
        <item x="63"/>
        <item x="49"/>
        <item x="12"/>
        <item x="37"/>
        <item x="20"/>
        <item x="48"/>
        <item x="56"/>
        <item x="57"/>
        <item x="42"/>
        <item x="38"/>
        <item x="13"/>
        <item x="43"/>
        <item x="39"/>
        <item x="1"/>
        <item x="2"/>
        <item x="40"/>
        <item x="3"/>
        <item x="4"/>
      </items>
    </pivotField>
    <pivotField compact="0" outline="0" subtotalTop="0" showAll="0" includeNewItemsInFilter="1" defaultSubtotal="0"/>
    <pivotField dataField="1"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-2"/>
  </rowFields>
  <rowItems count="3">
    <i>
      <x/>
    </i>
    <i i="1">
      <x v="1"/>
    </i>
    <i i="2">
      <x v="2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0" item="0" hier="0"/>
    <pageField fld="8" hier="0"/>
    <pageField fld="6" hier="-1"/>
  </pageFields>
  <dataFields count="3">
    <dataField name="Somme de Potentiel Lingot issu du recyclage_x000a_(t)" fld="36" baseField="0" baseItem="0"/>
    <dataField name="Somme de Volume Lingot Potentiel Négoce (t)" fld="43" baseField="0" baseItem="0"/>
    <dataField name="Somme de Lingot source Négoce Utilisé (t)" fld="38" baseField="0" baseItem="0"/>
  </dataFields>
  <formats count="1">
    <format dxfId="1">
      <pivotArea outline="0" fieldPosition="0"/>
    </format>
  </format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Tableau croisé dynamique8" cacheId="171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6:K31" firstHeaderRow="1" firstDataRow="2" firstDataCol="1" rowPageCount="4" colPageCount="1"/>
  <pivotFields count="56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2">
        <item m="1" x="19"/>
        <item x="8"/>
        <item x="3"/>
        <item x="1"/>
        <item m="1" x="20"/>
        <item x="0"/>
        <item x="16"/>
        <item x="7"/>
        <item x="14"/>
        <item x="15"/>
        <item x="12"/>
        <item x="11"/>
        <item x="5"/>
        <item m="1" x="18"/>
        <item x="17"/>
        <item x="10"/>
        <item x="4"/>
        <item x="13"/>
        <item x="6"/>
        <item x="2"/>
        <item x="9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dataField="1"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dataField="1"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dataField="1"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Px Copeaux UKAD k$" fld="16" baseField="0" baseItem="0"/>
    <dataField name="Somme de Px Copeaux AD k$" fld="22" baseField="0" baseItem="0"/>
    <dataField name="Somme de Px Copeaux Client k$" fld="28" baseField="0" baseItem="0"/>
    <dataField name="Somme de Px Copeaux Négoce k$" fld="45" baseField="0" baseItem="0"/>
  </dataFields>
  <formats count="1">
    <format dxfId="3">
      <pivotArea outline="0" collapsedLevelsAreSubtotals="1" fieldPosition="0"/>
    </format>
  </format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Tableau croisé dynamique1" cacheId="17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:U15" firstHeaderRow="1" firstDataRow="3" firstDataCol="1" rowPageCount="2" colPageCount="1"/>
  <pivotFields count="56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12">
        <item x="1"/>
        <item x="0"/>
        <item x="3"/>
        <item x="2"/>
        <item x="7"/>
        <item x="10"/>
        <item x="8"/>
        <item x="6"/>
        <item x="5"/>
        <item x="4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 defaultSubtotal="0"/>
    <pivotField dataField="1"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5"/>
  </rowFields>
  <rowItems count="9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3"/>
    <field x="-2"/>
  </colFields>
  <colItems count="20"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>
      <x v="8"/>
      <x/>
    </i>
    <i r="1" i="1">
      <x v="1"/>
    </i>
    <i>
      <x v="9"/>
      <x/>
    </i>
    <i r="1" i="1">
      <x v="1"/>
    </i>
    <i>
      <x v="10"/>
      <x/>
    </i>
    <i r="1" i="1">
      <x v="1"/>
    </i>
    <i>
      <x v="11"/>
      <x/>
    </i>
    <i r="1" i="1">
      <x v="1"/>
    </i>
    <i>
      <x v="12"/>
      <x/>
    </i>
    <i r="1" i="1">
      <x v="1"/>
    </i>
    <i t="grand">
      <x/>
    </i>
    <i t="grand" i="1">
      <x/>
    </i>
  </colItems>
  <pageFields count="2">
    <pageField fld="0" item="0" hier="0"/>
    <pageField fld="8" hier="0"/>
  </pageFields>
  <dataFields count="2">
    <dataField name="Somme de Potentiel Lingot issu du recyclage_x000a_(t)" fld="36" baseField="0" baseItem="0"/>
    <dataField name="Somme de Besoin Complémentaire Lingot_x000a_(t)" fld="37" baseField="0" baseItem="0"/>
  </dataFields>
  <formats count="3">
    <format dxfId="12">
      <pivotArea outline="0" fieldPosition="0">
        <references count="1">
          <reference field="5" count="8" selected="0">
            <x v="1"/>
            <x v="2"/>
            <x v="5"/>
            <x v="6"/>
            <x v="7"/>
            <x v="8"/>
            <x v="9"/>
            <x v="10"/>
          </reference>
        </references>
      </pivotArea>
    </format>
    <format dxfId="11">
      <pivotArea grandRow="1" outline="0" fieldPosition="0"/>
    </format>
    <format dxfId="10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Tableau croisé dynamique5" cacheId="171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3:I28" firstHeaderRow="1" firstDataRow="2" firstDataCol="1" rowPageCount="3" colPageCount="1"/>
  <pivotFields count="56">
    <pivotField axis="axisPage" compact="0" outline="0" subtotalTop="0" showAll="0" includeNewItemsInFilter="1">
      <items count="3">
        <item h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h="1" x="12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12">
        <item x="1"/>
        <item x="0"/>
        <item x="3"/>
        <item x="2"/>
        <item x="7"/>
        <item x="10"/>
        <item x="8"/>
        <item x="6"/>
        <item x="5"/>
        <item x="4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 defaultSubtotal="0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/>
    <pivotField compact="0" outline="0" subtotalTop="0" dragToRow="0" dragToCol="0" dragToPage="0" showAll="0" includeNewItemsInFilter="1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5"/>
  </colFields>
  <colItems count="8">
    <i>
      <x/>
    </i>
    <i>
      <x v="1"/>
    </i>
    <i>
      <x v="2"/>
    </i>
    <i>
      <x v="3"/>
    </i>
    <i>
      <x v="7"/>
    </i>
    <i>
      <x v="8"/>
    </i>
    <i>
      <x v="9"/>
    </i>
    <i t="grand">
      <x/>
    </i>
  </colItems>
  <pageFields count="3">
    <pageField fld="0" hier="0"/>
    <pageField fld="8" hier="0"/>
    <pageField fld="3" item="10" hier="0"/>
  </pageFields>
  <dataFields count="4">
    <dataField name="Somme de DP UKAD_x000a_(t)" fld="10" baseField="0" baseItem="0"/>
    <dataField name="Somme de Volume Massifs UKAD_x000a_(t)" fld="12" baseField="0" baseItem="0"/>
    <dataField name="Somme de Volume Copeaux UKAD_x000a_(t)" fld="13" baseField="0" baseItem="0"/>
    <dataField name="Somme de Potentiel Lingot issu des chutes UKAD_x000a_(t)" fld="51" baseField="0" baseItem="0"/>
  </dataFields>
  <pivotTableStyleInfo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Tableau croisé dynamique2" cacheId="171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:J10" firstHeaderRow="1" firstDataRow="2" firstDataCol="1" rowPageCount="2" colPageCount="1"/>
  <pivotFields count="56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14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h="1" x="12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12">
        <item x="1"/>
        <item x="0"/>
        <item x="3"/>
        <item x="2"/>
        <item x="7"/>
        <item x="10"/>
        <item x="8"/>
        <item x="6"/>
        <item x="5"/>
        <item x="4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 defaultSubtotal="0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5"/>
  </colFields>
  <colItems count="9">
    <i>
      <x v="1"/>
    </i>
    <i>
      <x v="2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2">
    <pageField fld="3" hier="0"/>
    <pageField fld="0" hier="0"/>
  </pageFields>
  <dataFields count="5">
    <dataField name="Somme de Volume_x000a_(pds)" fld="4" baseField="0" baseItem="0"/>
    <dataField name="Somme de Total Massif" fld="34" baseField="0" baseItem="0"/>
    <dataField name="Somme de Total Copeaux" fld="35" baseField="0" baseItem="0"/>
    <dataField name="Somme de Potentiel Lingot issu du recyclage_x000a_(t)" fld="36" baseField="0" baseItem="0"/>
    <dataField name="Somme de Besoin Complémentaire Lingot_x000a_(t)" fld="37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5" cacheId="17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63:K74" firstHeaderRow="1" firstDataRow="2" firstDataCol="1" rowPageCount="2" colPageCount="1"/>
  <pivotFields count="56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19"/>
    </i>
    <i>
      <x v="20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hier="0"/>
    <pageField fld="8" hier="0"/>
  </pageFields>
  <dataFields count="1">
    <dataField name="Somme de CA Lingot EcoTi (k$)" fld="53" baseField="0" baseItem="0"/>
  </dataFields>
  <formats count="1">
    <format dxfId="6">
      <pivotArea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4" cacheId="17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3:K54" firstHeaderRow="1" firstDataRow="2" firstDataCol="1" rowPageCount="2" colPageCount="1"/>
  <pivotFields count="56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19"/>
    </i>
    <i>
      <x v="20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item="0" hier="0"/>
    <pageField fld="8" hier="0"/>
  </pageFields>
  <dataFields count="1">
    <dataField name="Somme de Prix de Vente Lingot Ecoti ($/kg)" fld="52" baseField="0" baseItem="0" numFmtId="2"/>
  </dataFields>
  <formats count="1">
    <format dxfId="7">
      <pivotArea outline="0" fieldPosition="0"/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3" cacheId="17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3:K34" firstHeaderRow="1" firstDataRow="2" firstDataCol="1" rowPageCount="2" colPageCount="1"/>
  <pivotFields count="56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19"/>
    </i>
    <i>
      <x v="20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item="0" hier="0"/>
    <pageField fld="8" hier="0"/>
  </pageFields>
  <dataFields count="1">
    <dataField name="Somme de Devis Prix de Lingot Théorique ($/kg)" fld="49" baseField="0" baseItem="0" numFmtId="2"/>
  </dataFields>
  <formats count="1">
    <format dxfId="8">
      <pivotArea outline="0" fieldPosition="0"/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eau croisé dynamique2" cacheId="171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4:K15" firstHeaderRow="1" firstDataRow="2" firstDataCol="1" rowPageCount="2" colPageCount="1"/>
  <pivotFields count="56">
    <pivotField axis="axisPage" compact="0" outline="0" subtotalTop="0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19"/>
    </i>
    <i>
      <x v="20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item="0" hier="0"/>
    <pageField fld="8" hier="0"/>
  </pageFields>
  <dataFields count="1">
    <dataField name="Somme de Lingot (t)" fld="11" baseField="0" baseItem="0" numFmtId="1"/>
  </dataFields>
  <formats count="1">
    <format dxfId="9">
      <pivotArea outline="0" fieldPosition="0"/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eau croisé dynamique3" cacheId="171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5:K16" firstHeaderRow="1" firstDataRow="2" firstDataCol="1" rowPageCount="3" colPageCount="1"/>
  <pivotFields count="56">
    <pivotField axis="axisPage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">
        <item m="1" x="19"/>
        <item x="3"/>
        <item m="1" x="20"/>
        <item x="0"/>
        <item x="7"/>
        <item x="14"/>
        <item x="15"/>
        <item x="12"/>
        <item x="11"/>
        <item x="5"/>
        <item m="1" x="18"/>
        <item x="4"/>
        <item x="13"/>
        <item x="6"/>
        <item x="2"/>
        <item x="9"/>
        <item x="8"/>
        <item x="1"/>
        <item x="16"/>
        <item x="10"/>
        <item x="17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6"/>
  </rowFields>
  <rowItems count="10">
    <i>
      <x v="5"/>
    </i>
    <i>
      <x v="6"/>
    </i>
    <i>
      <x v="7"/>
    </i>
    <i>
      <x v="8"/>
    </i>
    <i>
      <x v="12"/>
    </i>
    <i>
      <x v="15"/>
    </i>
    <i>
      <x v="16"/>
    </i>
    <i>
      <x v="19"/>
    </i>
    <i>
      <x v="20"/>
    </i>
    <i t="grand">
      <x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0" item="0" hier="0"/>
    <pageField fld="8" hier="0"/>
    <pageField fld="7" hier="0"/>
  </pageFields>
  <dataFields count="1">
    <dataField name="Somme de DP UKAD_x000a_(t)" fld="10" baseField="0" baseItem="0" numFmtId="3"/>
  </dataField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eau croisé dynamique8" cacheId="171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26:K31" firstHeaderRow="1" firstDataRow="2" firstDataCol="1" rowPageCount="4" colPageCount="1"/>
  <pivotFields count="56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2">
        <item m="1" x="19"/>
        <item x="8"/>
        <item x="3"/>
        <item x="1"/>
        <item m="1" x="20"/>
        <item x="0"/>
        <item x="16"/>
        <item x="7"/>
        <item x="14"/>
        <item x="15"/>
        <item x="12"/>
        <item x="11"/>
        <item x="5"/>
        <item m="1" x="18"/>
        <item x="17"/>
        <item x="10"/>
        <item x="4"/>
        <item x="13"/>
        <item x="6"/>
        <item x="2"/>
        <item x="9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Px Massifs UKAD k$" fld="15" baseField="0" baseItem="0"/>
    <dataField name="Somme de Px Massifs AD k$" fld="21" baseField="0" baseItem="0"/>
    <dataField name="Somme de Px Massifs Client k$" fld="27" baseField="0" baseItem="0"/>
    <dataField name="Somme de Px Massifs Négoce k$" fld="44" baseField="0" baseItem="0"/>
  </dataFields>
  <formats count="1">
    <format dxfId="4">
      <pivotArea outline="0" collapsedLevelsAreSubtotals="1" fieldPosition="0"/>
    </format>
  </format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eau croisé dynamique6" cacheId="171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6:O11" firstHeaderRow="1" firstDataRow="2" firstDataCol="1" rowPageCount="4" colPageCount="1"/>
  <pivotFields count="56">
    <pivotField axis="axisPage" compact="0" outline="0" subtotalTop="0" multipleItemSelectionAllowed="1" showAll="0" includeNewItemsInFilter="1">
      <items count="3">
        <item h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2">
        <item m="1" x="19"/>
        <item x="8"/>
        <item x="3"/>
        <item x="1"/>
        <item m="1" x="20"/>
        <item x="0"/>
        <item x="16"/>
        <item x="7"/>
        <item x="14"/>
        <item x="15"/>
        <item x="12"/>
        <item x="11"/>
        <item x="5"/>
        <item m="1" x="18"/>
        <item x="17"/>
        <item x="10"/>
        <item x="4"/>
        <item x="13"/>
        <item x="6"/>
        <item x="2"/>
        <item x="9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Volume Massifs UKAD_x000a_(t)" fld="12" baseField="0" baseItem="0"/>
    <dataField name="Somme de Volume Massifs AD_x000a_(t)" fld="18" baseField="0" baseItem="0"/>
    <dataField name="Somme de Volume Massifs Client_x000a_(t)" fld="24" baseField="0" baseItem="0"/>
    <dataField name="Somme de Volume Massif Négoce (t)" fld="41" baseField="0" baseItem="0"/>
  </dataFields>
  <formats count="1">
    <format dxfId="5">
      <pivotArea outline="0" collapsedLevelsAreSubtotals="1" fieldPosition="0"/>
    </format>
  </formats>
  <pivotTableStyleInfo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eau croisé dynamique6" cacheId="171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6:K11" firstHeaderRow="1" firstDataRow="2" firstDataCol="1" rowPageCount="4" colPageCount="1"/>
  <pivotFields count="56">
    <pivotField axis="axisPage" compact="0" outline="0" subtotalTop="0" multipleItemSelectionAllowed="1" showAll="0" includeNewItemsInFilter="1">
      <items count="3">
        <item x="1"/>
        <item h="1"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2">
        <item m="1" x="19"/>
        <item x="8"/>
        <item x="3"/>
        <item x="1"/>
        <item m="1" x="20"/>
        <item x="0"/>
        <item x="16"/>
        <item x="7"/>
        <item x="14"/>
        <item x="15"/>
        <item x="12"/>
        <item x="11"/>
        <item x="5"/>
        <item m="1" x="18"/>
        <item x="17"/>
        <item x="10"/>
        <item x="4"/>
        <item x="13"/>
        <item x="6"/>
        <item x="2"/>
        <item x="9"/>
        <item t="default"/>
      </items>
    </pivotField>
    <pivotField axis="axisPage" compact="0" outline="0" subtotalTop="0" showAll="0" includeNewItemsInFilter="1">
      <items count="5">
        <item x="1"/>
        <item x="2"/>
        <item x="3"/>
        <item x="0"/>
        <item t="default"/>
      </items>
    </pivotField>
    <pivotField axis="axisPage" compact="0" outline="0" subtotalTop="0" multipleItemSelectionAllowed="1" showAll="0" includeNewItemsInFilter="1">
      <items count="4">
        <item h="1" x="2"/>
        <item x="0"/>
        <item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  <pivotField compact="0" outline="0" subtotalTop="0" showAll="0" includeNewItemsInFilter="1" defaultSubtotal="0"/>
    <pivotField compact="0" outline="0" subtotalTop="0" dragToRow="0" dragToCol="0" dragToPage="0" showAll="0" includeNewItemsInFilter="1" defaultSubtota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3"/>
  </colFields>
  <colItems count="10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0" hier="0"/>
    <pageField fld="8" hier="0"/>
    <pageField fld="6" hier="-1"/>
    <pageField fld="7" hier="0"/>
  </pageFields>
  <dataFields count="4">
    <dataField name="Somme de Volume Copeaux UKAD_x000a_(t)" fld="13" baseField="0" baseItem="0"/>
    <dataField name="Somme de Volume Copeaux AD_x000a_(t)" fld="19" baseField="0" baseItem="0"/>
    <dataField name="Somme de Volume Copeaux Client_x000a_(t)" fld="25" baseField="0" baseItem="0"/>
    <dataField name="Somme de Volume Copeaux Négoce (t)" fld="42" baseField="0" baseItem="0"/>
  </dataFields>
  <formats count="1">
    <format dxfId="2">
      <pivotArea outline="0" collapsedLevelsAreSubtotals="1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5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1" sqref="C11"/>
    </sheetView>
  </sheetViews>
  <sheetFormatPr baseColWidth="10" defaultRowHeight="15" x14ac:dyDescent="0.25"/>
  <cols>
    <col min="1" max="1" width="19.140625" customWidth="1"/>
    <col min="2" max="2" width="26.28515625" customWidth="1"/>
    <col min="3" max="3" width="23.28515625" customWidth="1"/>
    <col min="4" max="4" width="53.42578125" customWidth="1"/>
  </cols>
  <sheetData>
    <row r="1" spans="1:4" x14ac:dyDescent="0.25">
      <c r="A1" t="s">
        <v>73</v>
      </c>
      <c r="B1" t="s">
        <v>75</v>
      </c>
      <c r="C1" t="s">
        <v>30</v>
      </c>
      <c r="D1" t="s">
        <v>31</v>
      </c>
    </row>
    <row r="2" spans="1:4" ht="66" customHeight="1" x14ac:dyDescent="0.25">
      <c r="A2" t="s">
        <v>16</v>
      </c>
      <c r="B2" t="s">
        <v>29</v>
      </c>
      <c r="C2" t="s">
        <v>32</v>
      </c>
      <c r="D2" s="1" t="s">
        <v>33</v>
      </c>
    </row>
    <row r="3" spans="1:4" ht="45" x14ac:dyDescent="0.25">
      <c r="A3" t="s">
        <v>16</v>
      </c>
      <c r="B3" t="s">
        <v>35</v>
      </c>
      <c r="C3" t="s">
        <v>36</v>
      </c>
      <c r="D3" s="1" t="s">
        <v>140</v>
      </c>
    </row>
    <row r="4" spans="1:4" x14ac:dyDescent="0.25">
      <c r="A4" t="s">
        <v>16</v>
      </c>
      <c r="B4" t="s">
        <v>52</v>
      </c>
      <c r="C4" t="s">
        <v>53</v>
      </c>
      <c r="D4" t="s">
        <v>54</v>
      </c>
    </row>
    <row r="5" spans="1:4" x14ac:dyDescent="0.25">
      <c r="A5" t="s">
        <v>16</v>
      </c>
      <c r="B5" t="s">
        <v>55</v>
      </c>
      <c r="C5" t="s">
        <v>56</v>
      </c>
      <c r="D5" t="s">
        <v>54</v>
      </c>
    </row>
    <row r="6" spans="1:4" ht="45" x14ac:dyDescent="0.25">
      <c r="A6" t="s">
        <v>16</v>
      </c>
      <c r="B6" t="s">
        <v>57</v>
      </c>
      <c r="D6" s="1" t="s">
        <v>58</v>
      </c>
    </row>
    <row r="7" spans="1:4" x14ac:dyDescent="0.25">
      <c r="A7" t="s">
        <v>16</v>
      </c>
      <c r="B7" t="s">
        <v>59</v>
      </c>
      <c r="D7" s="1" t="s">
        <v>60</v>
      </c>
    </row>
    <row r="8" spans="1:4" ht="45" x14ac:dyDescent="0.25">
      <c r="A8" t="s">
        <v>16</v>
      </c>
      <c r="B8" t="s">
        <v>61</v>
      </c>
      <c r="D8" s="1" t="s">
        <v>62</v>
      </c>
    </row>
    <row r="9" spans="1:4" x14ac:dyDescent="0.25">
      <c r="A9" t="s">
        <v>16</v>
      </c>
      <c r="B9" t="s">
        <v>39</v>
      </c>
      <c r="D9" s="1" t="s">
        <v>63</v>
      </c>
    </row>
    <row r="10" spans="1:4" x14ac:dyDescent="0.25">
      <c r="A10" t="s">
        <v>16</v>
      </c>
      <c r="B10" t="s">
        <v>50</v>
      </c>
      <c r="D10" s="1" t="s">
        <v>64</v>
      </c>
    </row>
    <row r="11" spans="1:4" ht="30" x14ac:dyDescent="0.25">
      <c r="A11" t="s">
        <v>69</v>
      </c>
      <c r="B11" t="s">
        <v>74</v>
      </c>
      <c r="C11" t="s">
        <v>76</v>
      </c>
      <c r="D11" s="1" t="s">
        <v>77</v>
      </c>
    </row>
    <row r="12" spans="1:4" x14ac:dyDescent="0.25">
      <c r="A12" t="s">
        <v>69</v>
      </c>
      <c r="B12" t="s">
        <v>70</v>
      </c>
      <c r="D12" s="1" t="s">
        <v>78</v>
      </c>
    </row>
    <row r="13" spans="1:4" x14ac:dyDescent="0.25">
      <c r="A13" t="s">
        <v>69</v>
      </c>
      <c r="B13" t="s">
        <v>38</v>
      </c>
      <c r="D13" s="1" t="s">
        <v>79</v>
      </c>
    </row>
    <row r="14" spans="1:4" x14ac:dyDescent="0.25">
      <c r="A14" t="s">
        <v>69</v>
      </c>
      <c r="B14" t="s">
        <v>71</v>
      </c>
      <c r="D14" s="1" t="s">
        <v>80</v>
      </c>
    </row>
    <row r="15" spans="1:4" ht="60" x14ac:dyDescent="0.25">
      <c r="A15" t="s">
        <v>69</v>
      </c>
      <c r="B15" t="s">
        <v>72</v>
      </c>
      <c r="D15" s="1" t="s">
        <v>81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E18" sqref="E18"/>
    </sheetView>
  </sheetViews>
  <sheetFormatPr baseColWidth="10" defaultRowHeight="15" x14ac:dyDescent="0.25"/>
  <cols>
    <col min="1" max="1" width="36.28515625" customWidth="1"/>
    <col min="2" max="10" width="21.85546875" customWidth="1"/>
    <col min="11" max="11" width="12.5703125" customWidth="1"/>
    <col min="12" max="14" width="21.85546875" customWidth="1"/>
    <col min="15" max="15" width="12.5703125" bestFit="1" customWidth="1"/>
  </cols>
  <sheetData>
    <row r="1" spans="1:11" x14ac:dyDescent="0.25">
      <c r="A1" s="23" t="s">
        <v>40</v>
      </c>
      <c r="B1" s="24" t="s">
        <v>69</v>
      </c>
    </row>
    <row r="2" spans="1:11" x14ac:dyDescent="0.25">
      <c r="A2" s="23" t="s">
        <v>27</v>
      </c>
      <c r="B2" s="24" t="s">
        <v>175</v>
      </c>
    </row>
    <row r="3" spans="1:11" x14ac:dyDescent="0.25">
      <c r="A3" s="23" t="s">
        <v>1</v>
      </c>
      <c r="B3" s="24" t="s">
        <v>66</v>
      </c>
    </row>
    <row r="4" spans="1:11" x14ac:dyDescent="0.25">
      <c r="A4" s="23" t="s">
        <v>105</v>
      </c>
      <c r="B4" s="24" t="s">
        <v>66</v>
      </c>
    </row>
    <row r="6" spans="1:11" x14ac:dyDescent="0.25">
      <c r="A6" s="9"/>
      <c r="B6" s="6" t="s">
        <v>51</v>
      </c>
      <c r="C6" s="7"/>
      <c r="D6" s="7"/>
      <c r="E6" s="7"/>
      <c r="F6" s="7"/>
      <c r="G6" s="7"/>
      <c r="H6" s="7"/>
      <c r="I6" s="7"/>
      <c r="J6" s="7"/>
      <c r="K6" s="8"/>
    </row>
    <row r="7" spans="1:11" x14ac:dyDescent="0.25">
      <c r="A7" s="6" t="s">
        <v>107</v>
      </c>
      <c r="B7" s="9">
        <v>2016</v>
      </c>
      <c r="C7" s="10">
        <v>2017</v>
      </c>
      <c r="D7" s="10">
        <v>2018</v>
      </c>
      <c r="E7" s="10">
        <v>2019</v>
      </c>
      <c r="F7" s="10">
        <v>2020</v>
      </c>
      <c r="G7" s="10">
        <v>2021</v>
      </c>
      <c r="H7" s="10">
        <v>2022</v>
      </c>
      <c r="I7" s="10">
        <v>2023</v>
      </c>
      <c r="J7" s="10">
        <v>2024</v>
      </c>
      <c r="K7" s="11" t="s">
        <v>141</v>
      </c>
    </row>
    <row r="8" spans="1:11" x14ac:dyDescent="0.25">
      <c r="A8" s="9" t="s">
        <v>169</v>
      </c>
      <c r="B8" s="84">
        <v>47.643749999999997</v>
      </c>
      <c r="C8" s="85">
        <v>67.567499999999995</v>
      </c>
      <c r="D8" s="85">
        <v>106.83750000000001</v>
      </c>
      <c r="E8" s="85">
        <v>114.345</v>
      </c>
      <c r="F8" s="85">
        <v>122.71875</v>
      </c>
      <c r="G8" s="85">
        <v>123.00749999999999</v>
      </c>
      <c r="H8" s="85">
        <v>123.00749999999999</v>
      </c>
      <c r="I8" s="85">
        <v>126.18375</v>
      </c>
      <c r="J8" s="85">
        <v>126.18374999999997</v>
      </c>
      <c r="K8" s="86">
        <v>957.49499999999989</v>
      </c>
    </row>
    <row r="9" spans="1:11" x14ac:dyDescent="0.25">
      <c r="A9" s="15" t="s">
        <v>171</v>
      </c>
      <c r="B9" s="87">
        <v>12.24</v>
      </c>
      <c r="C9" s="71">
        <v>24.48</v>
      </c>
      <c r="D9" s="71">
        <v>45.72</v>
      </c>
      <c r="E9" s="71">
        <v>78.12</v>
      </c>
      <c r="F9" s="71">
        <v>117.72</v>
      </c>
      <c r="G9" s="71">
        <v>117.72</v>
      </c>
      <c r="H9" s="71">
        <v>117.72</v>
      </c>
      <c r="I9" s="71">
        <v>135.72</v>
      </c>
      <c r="J9" s="71">
        <v>135.72</v>
      </c>
      <c r="K9" s="88">
        <v>785.16000000000008</v>
      </c>
    </row>
    <row r="10" spans="1:11" x14ac:dyDescent="0.25">
      <c r="A10" s="15" t="s">
        <v>173</v>
      </c>
      <c r="B10" s="87">
        <v>201</v>
      </c>
      <c r="C10" s="71">
        <v>402</v>
      </c>
      <c r="D10" s="71">
        <v>603</v>
      </c>
      <c r="E10" s="71">
        <v>603</v>
      </c>
      <c r="F10" s="71">
        <v>603</v>
      </c>
      <c r="G10" s="71">
        <v>603</v>
      </c>
      <c r="H10" s="71">
        <v>603</v>
      </c>
      <c r="I10" s="71">
        <v>603</v>
      </c>
      <c r="J10" s="71">
        <v>603</v>
      </c>
      <c r="K10" s="88">
        <v>4824</v>
      </c>
    </row>
    <row r="11" spans="1:11" x14ac:dyDescent="0.25">
      <c r="A11" s="27" t="s">
        <v>226</v>
      </c>
      <c r="B11" s="92">
        <v>181.62375</v>
      </c>
      <c r="C11" s="93">
        <v>222.04874999999998</v>
      </c>
      <c r="D11" s="93">
        <v>239.37375</v>
      </c>
      <c r="E11" s="93">
        <v>325.99874999999997</v>
      </c>
      <c r="F11" s="93">
        <v>343.32374999999996</v>
      </c>
      <c r="G11" s="93">
        <v>343.32374999999996</v>
      </c>
      <c r="H11" s="93">
        <v>343.32374999999996</v>
      </c>
      <c r="I11" s="93">
        <v>343.32374999999996</v>
      </c>
      <c r="J11" s="93">
        <v>343.32374999999996</v>
      </c>
      <c r="K11" s="94">
        <v>2685.6637499999997</v>
      </c>
    </row>
    <row r="21" spans="1:11" x14ac:dyDescent="0.25">
      <c r="A21" s="23" t="s">
        <v>40</v>
      </c>
      <c r="B21" s="24" t="s">
        <v>69</v>
      </c>
    </row>
    <row r="22" spans="1:11" x14ac:dyDescent="0.25">
      <c r="A22" s="23" t="s">
        <v>27</v>
      </c>
      <c r="B22" s="24" t="s">
        <v>175</v>
      </c>
    </row>
    <row r="23" spans="1:11" x14ac:dyDescent="0.25">
      <c r="A23" s="23" t="s">
        <v>1</v>
      </c>
      <c r="B23" s="24" t="s">
        <v>66</v>
      </c>
    </row>
    <row r="24" spans="1:11" x14ac:dyDescent="0.25">
      <c r="A24" s="23" t="s">
        <v>105</v>
      </c>
      <c r="B24" s="24" t="s">
        <v>66</v>
      </c>
    </row>
    <row r="26" spans="1:11" x14ac:dyDescent="0.25">
      <c r="A26" s="9"/>
      <c r="B26" s="6" t="s">
        <v>51</v>
      </c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6" t="s">
        <v>107</v>
      </c>
      <c r="B27" s="9">
        <v>2016</v>
      </c>
      <c r="C27" s="10">
        <v>2017</v>
      </c>
      <c r="D27" s="10">
        <v>2018</v>
      </c>
      <c r="E27" s="10">
        <v>2019</v>
      </c>
      <c r="F27" s="10">
        <v>2020</v>
      </c>
      <c r="G27" s="10">
        <v>2021</v>
      </c>
      <c r="H27" s="10">
        <v>2022</v>
      </c>
      <c r="I27" s="10">
        <v>2023</v>
      </c>
      <c r="J27" s="10">
        <v>2024</v>
      </c>
      <c r="K27" s="11" t="s">
        <v>141</v>
      </c>
    </row>
    <row r="28" spans="1:11" x14ac:dyDescent="0.25">
      <c r="A28" s="9" t="s">
        <v>227</v>
      </c>
      <c r="B28" s="84">
        <v>28.58625</v>
      </c>
      <c r="C28" s="85">
        <v>40.540499999999994</v>
      </c>
      <c r="D28" s="85">
        <v>64.102499999999992</v>
      </c>
      <c r="E28" s="85">
        <v>68.606999999999999</v>
      </c>
      <c r="F28" s="85">
        <v>73.631249999999994</v>
      </c>
      <c r="G28" s="85">
        <v>73.80449999999999</v>
      </c>
      <c r="H28" s="85">
        <v>73.80449999999999</v>
      </c>
      <c r="I28" s="85">
        <v>75.710250000000002</v>
      </c>
      <c r="J28" s="85">
        <v>75.710250000000002</v>
      </c>
      <c r="K28" s="86">
        <v>574.49699999999984</v>
      </c>
    </row>
    <row r="29" spans="1:11" x14ac:dyDescent="0.25">
      <c r="A29" s="15" t="s">
        <v>228</v>
      </c>
      <c r="B29" s="87">
        <v>7.3439999999999994</v>
      </c>
      <c r="C29" s="71">
        <v>14.687999999999999</v>
      </c>
      <c r="D29" s="71">
        <v>27.431999999999995</v>
      </c>
      <c r="E29" s="71">
        <v>46.872</v>
      </c>
      <c r="F29" s="71">
        <v>70.631999999999991</v>
      </c>
      <c r="G29" s="71">
        <v>70.631999999999991</v>
      </c>
      <c r="H29" s="71">
        <v>70.631999999999991</v>
      </c>
      <c r="I29" s="71">
        <v>81.431999999999988</v>
      </c>
      <c r="J29" s="71">
        <v>81.431999999999988</v>
      </c>
      <c r="K29" s="88">
        <v>471.096</v>
      </c>
    </row>
    <row r="30" spans="1:11" x14ac:dyDescent="0.25">
      <c r="A30" s="15" t="s">
        <v>229</v>
      </c>
      <c r="B30" s="87">
        <v>120.6</v>
      </c>
      <c r="C30" s="71">
        <v>241.2</v>
      </c>
      <c r="D30" s="71">
        <v>361.8</v>
      </c>
      <c r="E30" s="71">
        <v>361.8</v>
      </c>
      <c r="F30" s="71">
        <v>361.8</v>
      </c>
      <c r="G30" s="71">
        <v>361.8</v>
      </c>
      <c r="H30" s="71">
        <v>361.8</v>
      </c>
      <c r="I30" s="71">
        <v>361.8</v>
      </c>
      <c r="J30" s="71">
        <v>361.8</v>
      </c>
      <c r="K30" s="88">
        <v>2894.4</v>
      </c>
    </row>
    <row r="31" spans="1:11" x14ac:dyDescent="0.25">
      <c r="A31" s="27" t="s">
        <v>230</v>
      </c>
      <c r="B31" s="92">
        <v>108.97425</v>
      </c>
      <c r="C31" s="93">
        <v>133.22924999999998</v>
      </c>
      <c r="D31" s="93">
        <v>143.62424999999999</v>
      </c>
      <c r="E31" s="93">
        <v>195.59924999999998</v>
      </c>
      <c r="F31" s="93">
        <v>205.99424999999997</v>
      </c>
      <c r="G31" s="93">
        <v>205.99424999999997</v>
      </c>
      <c r="H31" s="93">
        <v>205.99424999999997</v>
      </c>
      <c r="I31" s="93">
        <v>205.99424999999997</v>
      </c>
      <c r="J31" s="93">
        <v>205.99424999999997</v>
      </c>
      <c r="K31" s="94">
        <v>1611.3982499999997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A18" sqref="A18"/>
    </sheetView>
  </sheetViews>
  <sheetFormatPr baseColWidth="10" defaultRowHeight="15" x14ac:dyDescent="0.25"/>
  <cols>
    <col min="1" max="1" width="33.5703125" bestFit="1" customWidth="1"/>
    <col min="2" max="10" width="11.7109375" customWidth="1"/>
  </cols>
  <sheetData>
    <row r="1" spans="1:10" ht="15.75" thickBot="1" x14ac:dyDescent="0.3">
      <c r="B1" s="123">
        <v>2016</v>
      </c>
      <c r="C1" s="124">
        <v>2017</v>
      </c>
      <c r="D1" s="124">
        <v>2018</v>
      </c>
      <c r="E1" s="124">
        <v>2019</v>
      </c>
      <c r="F1" s="124">
        <v>2020</v>
      </c>
      <c r="G1" s="124">
        <v>2021</v>
      </c>
      <c r="H1" s="124">
        <v>2022</v>
      </c>
      <c r="I1" s="124">
        <v>2023</v>
      </c>
      <c r="J1" s="125">
        <v>2024</v>
      </c>
    </row>
    <row r="2" spans="1:10" x14ac:dyDescent="0.25">
      <c r="A2" s="117" t="s">
        <v>233</v>
      </c>
      <c r="B2" s="95">
        <f>GETPIVOTDATA("CA Lingot EcoTi (k$)",Lingots!$A$63,"Année",B1)</f>
        <v>22032.535252250003</v>
      </c>
      <c r="C2" s="95">
        <f>GETPIVOTDATA("CA Lingot EcoTi (k$)",Lingots!$A$63,"Année",C1)</f>
        <v>35282.604375000003</v>
      </c>
      <c r="D2" s="95">
        <f>GETPIVOTDATA("CA Lingot EcoTi (k$)",Lingots!$A$63,"Année",D1)</f>
        <v>67083.336639125002</v>
      </c>
      <c r="E2" s="95">
        <f>GETPIVOTDATA("CA Lingot EcoTi (k$)",Lingots!$A$63,"Année",E1)</f>
        <v>77616.71860537499</v>
      </c>
      <c r="F2" s="95">
        <f>GETPIVOTDATA("CA Lingot EcoTi (k$)",Lingots!$A$63,"Année",F1)</f>
        <v>82888.300361000001</v>
      </c>
      <c r="G2" s="95">
        <f>GETPIVOTDATA("CA Lingot EcoTi (k$)",Lingots!$A$63,"Année",G1)</f>
        <v>83039.993876624983</v>
      </c>
      <c r="H2" s="95">
        <f>GETPIVOTDATA("CA Lingot EcoTi (k$)",Lingots!$A$63,"Année",H1)</f>
        <v>83039.993876624983</v>
      </c>
      <c r="I2" s="95">
        <f>GETPIVOTDATA("CA Lingot EcoTi (k$)",Lingots!$A$63,"Année",I1)</f>
        <v>82774.654435999997</v>
      </c>
      <c r="J2" s="96">
        <f>GETPIVOTDATA("CA Lingot EcoTi (k$)",Lingots!$A$63,"Année",J1)</f>
        <v>82778.977767249991</v>
      </c>
    </row>
    <row r="3" spans="1:10" x14ac:dyDescent="0.25">
      <c r="A3" s="118" t="s">
        <v>234</v>
      </c>
      <c r="B3" s="97">
        <f>GETPIVOTDATA("Lingot (t)",Lingots!$A$4,"Année",B1)</f>
        <v>1162.0749999999998</v>
      </c>
      <c r="C3" s="97">
        <f>GETPIVOTDATA("Lingot (t)",Lingots!$A$4,"Année",C1)</f>
        <v>1813.8999999999999</v>
      </c>
      <c r="D3" s="97">
        <f>GETPIVOTDATA("Lingot (t)",Lingots!$A$4,"Année",D1)</f>
        <v>3266.9</v>
      </c>
      <c r="E3" s="97">
        <f>GETPIVOTDATA("Lingot (t)",Lingots!$A$4,"Année",E1)</f>
        <v>3783.1900000000005</v>
      </c>
      <c r="F3" s="97">
        <f>GETPIVOTDATA("Lingot (t)",Lingots!$A$4,"Année",F1)</f>
        <v>4030.75</v>
      </c>
      <c r="G3" s="97">
        <f>GETPIVOTDATA("Lingot (t)",Lingots!$A$4,"Année",G1)</f>
        <v>4036.8</v>
      </c>
      <c r="H3" s="97">
        <f>GETPIVOTDATA("Lingot (t)",Lingots!$A$4,"Année",H1)</f>
        <v>4036.8</v>
      </c>
      <c r="I3" s="97">
        <f>GETPIVOTDATA("Lingot (t)",Lingots!$A$4,"Année",I1)</f>
        <v>4032.8</v>
      </c>
      <c r="J3" s="98">
        <f>GETPIVOTDATA("Lingot (t)",Lingots!$A$4,"Année",J1)</f>
        <v>4032.8</v>
      </c>
    </row>
    <row r="4" spans="1:10" ht="15.75" thickBot="1" x14ac:dyDescent="0.3">
      <c r="A4" s="119" t="s">
        <v>235</v>
      </c>
      <c r="B4" s="99">
        <f>GETPIVOTDATA("DP UKAD
(t)",'DP UKAD'!$A$5,"Année",B1)</f>
        <v>950</v>
      </c>
      <c r="C4" s="99">
        <f>GETPIVOTDATA("DP UKAD
(t)",'DP UKAD'!$A$5,"Année",C1)</f>
        <v>1470</v>
      </c>
      <c r="D4" s="99">
        <f>GETPIVOTDATA("DP UKAD
(t)",'DP UKAD'!$A$5,"Année",D1)</f>
        <v>2650</v>
      </c>
      <c r="E4" s="99">
        <f>GETPIVOTDATA("DP UKAD
(t)",'DP UKAD'!$A$5,"Année",E1)</f>
        <v>3070</v>
      </c>
      <c r="F4" s="99">
        <f>GETPIVOTDATA("DP UKAD
(t)",'DP UKAD'!$A$5,"Année",F1)</f>
        <v>3275</v>
      </c>
      <c r="G4" s="99">
        <f>GETPIVOTDATA("DP UKAD
(t)",'DP UKAD'!$A$5,"Année",G1)</f>
        <v>3280</v>
      </c>
      <c r="H4" s="99">
        <f>GETPIVOTDATA("DP UKAD
(t)",'DP UKAD'!$A$5,"Année",H1)</f>
        <v>3280</v>
      </c>
      <c r="I4" s="99">
        <f>GETPIVOTDATA("DP UKAD
(t)",'DP UKAD'!$A$5,"Année",I1)</f>
        <v>3285</v>
      </c>
      <c r="J4" s="100">
        <f>GETPIVOTDATA("DP UKAD
(t)",'DP UKAD'!$A$5,"Année",J1)</f>
        <v>3285</v>
      </c>
    </row>
    <row r="5" spans="1:10" x14ac:dyDescent="0.25">
      <c r="A5" s="117" t="s">
        <v>236</v>
      </c>
      <c r="B5" s="101">
        <f>GETPIVOTDATA("Somme de Volume Massifs UKAD
(t)",Massifs!$A$6,"Année",B1)+GETPIVOTDATA("Somme de Volume Massifs AD
(t)",Massifs!$A$6,"Année",B1)+GETPIVOTDATA("Somme de Volume Massifs Client
(t)",Massifs!$A$6,"Année",B1)</f>
        <v>548.78649999999993</v>
      </c>
      <c r="C5" s="101">
        <f>GETPIVOTDATA("Somme de Volume Massifs UKAD
(t)",Massifs!$A$6,"Année",C1)+GETPIVOTDATA("Somme de Volume Massifs AD
(t)",Massifs!$A$6,"Année",C1)+GETPIVOTDATA("Somme de Volume Massifs Client
(t)",Massifs!$A$6,"Année",C1)</f>
        <v>588.79899999999998</v>
      </c>
      <c r="D5" s="101">
        <f>GETPIVOTDATA("Somme de Volume Massifs UKAD
(t)",Massifs!$A$6,"Année",D1)+GETPIVOTDATA("Somme de Volume Massifs AD
(t)",Massifs!$A$6,"Année",D1)+GETPIVOTDATA("Somme de Volume Massifs Client
(t)",Massifs!$A$6,"Année",D1)</f>
        <v>604.54899999999998</v>
      </c>
      <c r="E5" s="101">
        <f>GETPIVOTDATA("Somme de Volume Massifs UKAD
(t)",Massifs!$A$6,"Année",E1)+GETPIVOTDATA("Somme de Volume Massifs AD
(t)",Massifs!$A$6,"Année",E1)+GETPIVOTDATA("Somme de Volume Massifs Client
(t)",Massifs!$A$6,"Année",E1)</f>
        <v>685.47399999999993</v>
      </c>
      <c r="F5" s="101">
        <f>GETPIVOTDATA("Somme de Volume Massifs UKAD
(t)",Massifs!$A$6,"Année",F1)+GETPIVOTDATA("Somme de Volume Massifs AD
(t)",Massifs!$A$6,"Année",F1)+GETPIVOTDATA("Somme de Volume Massifs Client
(t)",Massifs!$A$6,"Année",F1)</f>
        <v>704.48649999999998</v>
      </c>
      <c r="G5" s="101">
        <f>GETPIVOTDATA("Somme de Volume Massifs UKAD
(t)",Massifs!$A$6,"Année",G1)+GETPIVOTDATA("Somme de Volume Massifs AD
(t)",Massifs!$A$6,"Année",G1)+GETPIVOTDATA("Somme de Volume Massifs Client
(t)",Massifs!$A$6,"Année",G1)</f>
        <v>704.48649999999998</v>
      </c>
      <c r="H5" s="101">
        <f>GETPIVOTDATA("Somme de Volume Massifs UKAD
(t)",Massifs!$A$6,"Année",H1)+GETPIVOTDATA("Somme de Volume Massifs AD
(t)",Massifs!$A$6,"Année",H1)+GETPIVOTDATA("Somme de Volume Massifs Client
(t)",Massifs!$A$6,"Année",H1)</f>
        <v>704.48649999999998</v>
      </c>
      <c r="I5" s="101">
        <f>GETPIVOTDATA("Somme de Volume Massifs UKAD
(t)",Massifs!$A$6,"Année",I1)+GETPIVOTDATA("Somme de Volume Massifs AD
(t)",Massifs!$A$6,"Année",I1)+GETPIVOTDATA("Somme de Volume Massifs Client
(t)",Massifs!$A$6,"Année",I1)</f>
        <v>704.48649999999998</v>
      </c>
      <c r="J5" s="102">
        <f>GETPIVOTDATA("Somme de Volume Massifs UKAD
(t)",Massifs!$A$6,"Année",J1)+GETPIVOTDATA("Somme de Volume Massifs AD
(t)",Massifs!$A$6,"Année",J1)+GETPIVOTDATA("Somme de Volume Massifs Client
(t)",Massifs!$A$6,"Année",J1)</f>
        <v>704.48649999999998</v>
      </c>
    </row>
    <row r="6" spans="1:10" x14ac:dyDescent="0.25">
      <c r="A6" s="118" t="s">
        <v>237</v>
      </c>
      <c r="B6" s="103">
        <f>GETPIVOTDATA("Somme de Volume Massif Négoce (t)",Massifs!$A$6,"Année",B1)</f>
        <v>0</v>
      </c>
      <c r="C6" s="103">
        <f>GETPIVOTDATA("Somme de Volume Massif Négoce (t)",Massifs!$A$6,"Année",C1)</f>
        <v>0</v>
      </c>
      <c r="D6" s="103">
        <f>GETPIVOTDATA("Somme de Volume Massif Négoce (t)",Massifs!$A$6,"Année",D1)</f>
        <v>0</v>
      </c>
      <c r="E6" s="103">
        <f>GETPIVOTDATA("Somme de Volume Massif Négoce (t)",Massifs!$A$6,"Année",E1)</f>
        <v>0</v>
      </c>
      <c r="F6" s="103">
        <f>GETPIVOTDATA("Somme de Volume Massif Négoce (t)",Massifs!$A$6,"Année",F1)</f>
        <v>0</v>
      </c>
      <c r="G6" s="103">
        <f>GETPIVOTDATA("Somme de Volume Massif Négoce (t)",Massifs!$A$6,"Année",G1)</f>
        <v>0</v>
      </c>
      <c r="H6" s="103">
        <f>GETPIVOTDATA("Somme de Volume Massif Négoce (t)",Massifs!$A$6,"Année",H1)</f>
        <v>0</v>
      </c>
      <c r="I6" s="103">
        <f>GETPIVOTDATA("Somme de Volume Massif Négoce (t)",Massifs!$A$6,"Année",I1)</f>
        <v>0</v>
      </c>
      <c r="J6" s="104">
        <f>GETPIVOTDATA("Somme de Volume Massif Négoce (t)",Massifs!$A$6,"Année",J1)</f>
        <v>0</v>
      </c>
    </row>
    <row r="7" spans="1:10" x14ac:dyDescent="0.25">
      <c r="A7" s="118" t="s">
        <v>238</v>
      </c>
      <c r="B7" s="105">
        <f>B5+B6</f>
        <v>548.78649999999993</v>
      </c>
      <c r="C7" s="105">
        <f t="shared" ref="C7:J7" si="0">C5+C6</f>
        <v>588.79899999999998</v>
      </c>
      <c r="D7" s="105">
        <f t="shared" si="0"/>
        <v>604.54899999999998</v>
      </c>
      <c r="E7" s="105">
        <f t="shared" si="0"/>
        <v>685.47399999999993</v>
      </c>
      <c r="F7" s="105">
        <f t="shared" si="0"/>
        <v>704.48649999999998</v>
      </c>
      <c r="G7" s="105">
        <f t="shared" si="0"/>
        <v>704.48649999999998</v>
      </c>
      <c r="H7" s="105">
        <f t="shared" si="0"/>
        <v>704.48649999999998</v>
      </c>
      <c r="I7" s="105">
        <f t="shared" si="0"/>
        <v>704.48649999999998</v>
      </c>
      <c r="J7" s="106">
        <f t="shared" si="0"/>
        <v>704.48649999999998</v>
      </c>
    </row>
    <row r="8" spans="1:10" x14ac:dyDescent="0.25">
      <c r="A8" s="118" t="s">
        <v>239</v>
      </c>
      <c r="B8" s="103">
        <f>GETPIVOTDATA("Somme de Volume Copeaux UKAD
(t)",Copeaux!$A$6,"Année",B1)+GETPIVOTDATA("Somme de Volume Copeaux AD
(t)",Copeaux!$A$6,"Année",B1)+GETPIVOTDATA("Somme de Volume Copeaux Client
(t)",Copeaux!$A$6,"Année",B1)</f>
        <v>260.88375000000002</v>
      </c>
      <c r="C8" s="103">
        <f>GETPIVOTDATA("Somme de Volume Copeaux UKAD
(t)",Copeaux!$A$6,"Année",C1)+GETPIVOTDATA("Somme de Volume Copeaux AD
(t)",Copeaux!$A$6,"Année",C1)+GETPIVOTDATA("Somme de Volume Copeaux Client
(t)",Copeaux!$A$6,"Année",C1)</f>
        <v>494.04750000000001</v>
      </c>
      <c r="D8" s="103">
        <f>GETPIVOTDATA("Somme de Volume Copeaux UKAD
(t)",Copeaux!$A$6,"Année",D1)+GETPIVOTDATA("Somme de Volume Copeaux AD
(t)",Copeaux!$A$6,"Année",D1)+GETPIVOTDATA("Somme de Volume Copeaux Client
(t)",Copeaux!$A$6,"Année",D1)</f>
        <v>755.5575</v>
      </c>
      <c r="E8" s="103">
        <f>GETPIVOTDATA("Somme de Volume Copeaux UKAD
(t)",Copeaux!$A$6,"Année",E1)+GETPIVOTDATA("Somme de Volume Copeaux AD
(t)",Copeaux!$A$6,"Année",E1)+GETPIVOTDATA("Somme de Volume Copeaux Client
(t)",Copeaux!$A$6,"Année",E1)</f>
        <v>795.46500000000003</v>
      </c>
      <c r="F8" s="103">
        <f>GETPIVOTDATA("Somme de Volume Copeaux UKAD
(t)",Copeaux!$A$6,"Année",F1)+GETPIVOTDATA("Somme de Volume Copeaux AD
(t)",Copeaux!$A$6,"Année",F1)+GETPIVOTDATA("Somme de Volume Copeaux Client
(t)",Copeaux!$A$6,"Année",F1)</f>
        <v>843.43875000000003</v>
      </c>
      <c r="G8" s="103">
        <f>GETPIVOTDATA("Somme de Volume Copeaux UKAD
(t)",Copeaux!$A$6,"Année",G1)+GETPIVOTDATA("Somme de Volume Copeaux AD
(t)",Copeaux!$A$6,"Année",G1)+GETPIVOTDATA("Somme de Volume Copeaux Client
(t)",Copeaux!$A$6,"Année",G1)</f>
        <v>843.72749999999996</v>
      </c>
      <c r="H8" s="103">
        <f>GETPIVOTDATA("Somme de Volume Copeaux UKAD
(t)",Copeaux!$A$6,"Année",H1)+GETPIVOTDATA("Somme de Volume Copeaux AD
(t)",Copeaux!$A$6,"Année",H1)+GETPIVOTDATA("Somme de Volume Copeaux Client
(t)",Copeaux!$A$6,"Année",H1)</f>
        <v>843.72749999999996</v>
      </c>
      <c r="I8" s="103">
        <f>GETPIVOTDATA("Somme de Volume Copeaux UKAD
(t)",Copeaux!$A$6,"Année",I1)+GETPIVOTDATA("Somme de Volume Copeaux AD
(t)",Copeaux!$A$6,"Année",I1)+GETPIVOTDATA("Somme de Volume Copeaux Client
(t)",Copeaux!$A$6,"Année",I1)</f>
        <v>864.90374999999995</v>
      </c>
      <c r="J8" s="104">
        <f>GETPIVOTDATA("Somme de Volume Copeaux UKAD
(t)",Copeaux!$A$6,"Année",J1)+GETPIVOTDATA("Somme de Volume Copeaux AD
(t)",Copeaux!$A$6,"Année",J1)+GETPIVOTDATA("Somme de Volume Copeaux Client
(t)",Copeaux!$A$6,"Année",J1)</f>
        <v>864.90374999999995</v>
      </c>
    </row>
    <row r="9" spans="1:10" x14ac:dyDescent="0.25">
      <c r="A9" s="118" t="s">
        <v>240</v>
      </c>
      <c r="B9" s="103">
        <f>GETPIVOTDATA("Somme de Volume Copeaux Négoce (t)",Copeaux!$A$6,"Année",B1)</f>
        <v>181.62375</v>
      </c>
      <c r="C9" s="103">
        <f>GETPIVOTDATA("Somme de Volume Copeaux Négoce (t)",Copeaux!$A$6,"Année",C1)</f>
        <v>222.04874999999998</v>
      </c>
      <c r="D9" s="103">
        <f>GETPIVOTDATA("Somme de Volume Copeaux Négoce (t)",Copeaux!$A$6,"Année",D1)</f>
        <v>239.37375</v>
      </c>
      <c r="E9" s="103">
        <f>GETPIVOTDATA("Somme de Volume Copeaux Négoce (t)",Copeaux!$A$6,"Année",E1)</f>
        <v>325.99874999999997</v>
      </c>
      <c r="F9" s="103">
        <f>GETPIVOTDATA("Somme de Volume Copeaux Négoce (t)",Copeaux!$A$6,"Année",F1)</f>
        <v>343.32374999999996</v>
      </c>
      <c r="G9" s="103">
        <f>GETPIVOTDATA("Somme de Volume Copeaux Négoce (t)",Copeaux!$A$6,"Année",G1)</f>
        <v>343.32374999999996</v>
      </c>
      <c r="H9" s="103">
        <f>GETPIVOTDATA("Somme de Volume Copeaux Négoce (t)",Copeaux!$A$6,"Année",H1)</f>
        <v>343.32374999999996</v>
      </c>
      <c r="I9" s="103">
        <f>GETPIVOTDATA("Somme de Volume Copeaux Négoce (t)",Copeaux!$A$6,"Année",I1)</f>
        <v>343.32374999999996</v>
      </c>
      <c r="J9" s="104">
        <f>GETPIVOTDATA("Somme de Volume Copeaux Négoce (t)",Copeaux!$A$6,"Année",J1)</f>
        <v>343.32374999999996</v>
      </c>
    </row>
    <row r="10" spans="1:10" ht="15.75" thickBot="1" x14ac:dyDescent="0.3">
      <c r="A10" s="119" t="s">
        <v>241</v>
      </c>
      <c r="B10" s="107">
        <f>B8+B9</f>
        <v>442.50750000000005</v>
      </c>
      <c r="C10" s="107">
        <f t="shared" ref="C10:J10" si="1">C8+C9</f>
        <v>716.09625000000005</v>
      </c>
      <c r="D10" s="107">
        <f t="shared" si="1"/>
        <v>994.93124999999998</v>
      </c>
      <c r="E10" s="107">
        <f t="shared" si="1"/>
        <v>1121.4637499999999</v>
      </c>
      <c r="F10" s="107">
        <f t="shared" si="1"/>
        <v>1186.7625</v>
      </c>
      <c r="G10" s="107">
        <f t="shared" si="1"/>
        <v>1187.05125</v>
      </c>
      <c r="H10" s="107">
        <f t="shared" si="1"/>
        <v>1187.05125</v>
      </c>
      <c r="I10" s="107">
        <f t="shared" si="1"/>
        <v>1208.2275</v>
      </c>
      <c r="J10" s="108">
        <f t="shared" si="1"/>
        <v>1208.2275</v>
      </c>
    </row>
    <row r="11" spans="1:10" x14ac:dyDescent="0.25">
      <c r="A11" s="117" t="s">
        <v>244</v>
      </c>
      <c r="B11" s="101">
        <f>GETPIVOTDATA("Somme de Potentiel Lingot issu du recyclage
(t)",Lingots!$A$83,"Année",B1)</f>
        <v>343.07594874999995</v>
      </c>
      <c r="C11" s="101">
        <f>GETPIVOTDATA("Somme de Potentiel Lingot issu du recyclage
(t)",Lingots!$A$83,"Année",C1)</f>
        <v>642.08000749999997</v>
      </c>
      <c r="D11" s="101">
        <f>GETPIVOTDATA("Somme de Potentiel Lingot issu du recyclage
(t)",Lingots!$A$83,"Année",D1)</f>
        <v>1041.5708774999998</v>
      </c>
      <c r="E11" s="101">
        <f>GETPIVOTDATA("Somme de Potentiel Lingot issu du recyclage
(t)",Lingots!$A$83,"Année",E1)</f>
        <v>1136.0509549999999</v>
      </c>
      <c r="F11" s="101">
        <f>GETPIVOTDATA("Somme de Potentiel Lingot issu du recyclage
(t)",Lingots!$A$83,"Année",F1)</f>
        <v>1200.72602125</v>
      </c>
      <c r="G11" s="101">
        <f>GETPIVOTDATA("Somme de Potentiel Lingot issu du recyclage
(t)",Lingots!$A$83,"Année",G1)</f>
        <v>1200.7882424999998</v>
      </c>
      <c r="H11" s="101">
        <f>GETPIVOTDATA("Somme de Potentiel Lingot issu du recyclage
(t)",Lingots!$A$83,"Année",H1)</f>
        <v>1200.7882424999998</v>
      </c>
      <c r="I11" s="101">
        <f>GETPIVOTDATA("Somme de Potentiel Lingot issu du recyclage
(t)",Lingots!$A$83,"Année",I1)</f>
        <v>1218.3013012500001</v>
      </c>
      <c r="J11" s="102">
        <f>GETPIVOTDATA("Somme de Potentiel Lingot issu du recyclage
(t)",Lingots!$A$83,"Année",J1)</f>
        <v>1217.8462137500001</v>
      </c>
    </row>
    <row r="12" spans="1:10" x14ac:dyDescent="0.25">
      <c r="A12" s="118" t="s">
        <v>245</v>
      </c>
      <c r="B12" s="103">
        <f>GETPIVOTDATA("Somme de Lingot source Négoce Utilisé (t)",Lingots!$A$83,"Année",B1)</f>
        <v>406.47481574999995</v>
      </c>
      <c r="C12" s="103">
        <f>GETPIVOTDATA("Somme de Lingot source Négoce Utilisé (t)",Lingots!$A$83,"Année",C1)</f>
        <v>480.51714074999995</v>
      </c>
      <c r="D12" s="103">
        <f>GETPIVOTDATA("Somme de Lingot source Négoce Utilisé (t)",Lingots!$A$83,"Année",D1)</f>
        <v>511.55566575</v>
      </c>
      <c r="E12" s="103">
        <f>GETPIVOTDATA("Somme de Lingot source Négoce Utilisé (t)",Lingots!$A$83,"Année",E1)</f>
        <v>667.82769074999987</v>
      </c>
      <c r="F12" s="103">
        <f>GETPIVOTDATA("Somme de Lingot source Négoce Utilisé (t)",Lingots!$A$83,"Année",F1)</f>
        <v>700.48531574999993</v>
      </c>
      <c r="G12" s="103">
        <f>GETPIVOTDATA("Somme de Lingot source Négoce Utilisé (t)",Lingots!$A$83,"Année",G1)</f>
        <v>700.48531574999993</v>
      </c>
      <c r="H12" s="103">
        <f>GETPIVOTDATA("Somme de Lingot source Négoce Utilisé (t)",Lingots!$A$83,"Année",H1)</f>
        <v>700.48531574999993</v>
      </c>
      <c r="I12" s="103">
        <f>GETPIVOTDATA("Somme de Lingot source Négoce Utilisé (t)",Lingots!$A$83,"Année",I1)</f>
        <v>700.48531574999993</v>
      </c>
      <c r="J12" s="104">
        <f>GETPIVOTDATA("Somme de Lingot source Négoce Utilisé (t)",Lingots!$A$83,"Année",J1)</f>
        <v>700.48531574999993</v>
      </c>
    </row>
    <row r="13" spans="1:10" ht="30" x14ac:dyDescent="0.25">
      <c r="A13" s="120" t="s">
        <v>246</v>
      </c>
      <c r="B13" s="103">
        <f>GETPIVOTDATA("Somme de Volume Lingot Potentiel Négoce (t)",Lingots!$A$83,"Année",B1)-GETPIVOTDATA("Somme de Lingot source Négoce Utilisé (t)",Lingots!$A$83,"Année",B1)</f>
        <v>0</v>
      </c>
      <c r="C13" s="103">
        <f>GETPIVOTDATA("Somme de Volume Lingot Potentiel Négoce (t)",Lingots!$A$83,"Année",C1)-GETPIVOTDATA("Somme de Lingot source Négoce Utilisé (t)",Lingots!$A$83,"Année",C1)</f>
        <v>0</v>
      </c>
      <c r="D13" s="103">
        <f>GETPIVOTDATA("Somme de Volume Lingot Potentiel Négoce (t)",Lingots!$A$83,"Année",D1)-GETPIVOTDATA("Somme de Lingot source Négoce Utilisé (t)",Lingots!$A$83,"Année",D1)</f>
        <v>0</v>
      </c>
      <c r="E13" s="103">
        <f>GETPIVOTDATA("Somme de Volume Lingot Potentiel Négoce (t)",Lingots!$A$83,"Année",E1)-GETPIVOTDATA("Somme de Lingot source Négoce Utilisé (t)",Lingots!$A$83,"Année",E1)</f>
        <v>0</v>
      </c>
      <c r="F13" s="103">
        <f>GETPIVOTDATA("Somme de Volume Lingot Potentiel Négoce (t)",Lingots!$A$83,"Année",F1)-GETPIVOTDATA("Somme de Lingot source Négoce Utilisé (t)",Lingots!$A$83,"Année",F1)</f>
        <v>0</v>
      </c>
      <c r="G13" s="103">
        <f>GETPIVOTDATA("Somme de Volume Lingot Potentiel Négoce (t)",Lingots!$A$83,"Année",G1)-GETPIVOTDATA("Somme de Lingot source Négoce Utilisé (t)",Lingots!$A$83,"Année",G1)</f>
        <v>0</v>
      </c>
      <c r="H13" s="103">
        <f>GETPIVOTDATA("Somme de Volume Lingot Potentiel Négoce (t)",Lingots!$A$83,"Année",H1)-GETPIVOTDATA("Somme de Lingot source Négoce Utilisé (t)",Lingots!$A$83,"Année",H1)</f>
        <v>0</v>
      </c>
      <c r="I13" s="103">
        <f>GETPIVOTDATA("Somme de Volume Lingot Potentiel Négoce (t)",Lingots!$A$83,"Année",I1)-GETPIVOTDATA("Somme de Lingot source Négoce Utilisé (t)",Lingots!$A$83,"Année",I1)</f>
        <v>0</v>
      </c>
      <c r="J13" s="104">
        <f>GETPIVOTDATA("Somme de Volume Lingot Potentiel Négoce (t)",Lingots!$A$83,"Année",J1)-GETPIVOTDATA("Somme de Lingot source Négoce Utilisé (t)",Lingots!$A$83,"Année",J1)</f>
        <v>0</v>
      </c>
    </row>
    <row r="14" spans="1:10" ht="30.75" thickBot="1" x14ac:dyDescent="0.3">
      <c r="A14" s="121" t="s">
        <v>247</v>
      </c>
      <c r="B14" s="109">
        <f>B3-B11-B12-B13</f>
        <v>412.52423549999992</v>
      </c>
      <c r="C14" s="109">
        <f>C3-C11-C12-C13</f>
        <v>691.30285174999995</v>
      </c>
      <c r="D14" s="109">
        <f>D3-D11-D12-D13</f>
        <v>1713.7734567500002</v>
      </c>
      <c r="E14" s="109">
        <f>E3-E11-E12-E13</f>
        <v>1979.3113542500009</v>
      </c>
      <c r="F14" s="109">
        <f>F3-F11-F12-F13</f>
        <v>2129.5386630000003</v>
      </c>
      <c r="G14" s="109">
        <f>G3-G11-G12-G13</f>
        <v>2135.5264417500002</v>
      </c>
      <c r="H14" s="109">
        <f>H3-H11-H12-H13</f>
        <v>2135.5264417500002</v>
      </c>
      <c r="I14" s="109">
        <f>I3-I11-I12-I13</f>
        <v>2114.0133830000004</v>
      </c>
      <c r="J14" s="110">
        <f>J3-J11-J12-J13</f>
        <v>2114.4684705</v>
      </c>
    </row>
    <row r="15" spans="1:10" x14ac:dyDescent="0.25">
      <c r="A15" s="117" t="s">
        <v>248</v>
      </c>
      <c r="B15" s="29">
        <v>0.4</v>
      </c>
      <c r="C15" s="29">
        <v>0.4</v>
      </c>
      <c r="D15" s="29">
        <v>0.4</v>
      </c>
      <c r="E15" s="29">
        <v>0.4</v>
      </c>
      <c r="F15" s="29">
        <v>0.4</v>
      </c>
      <c r="G15" s="29">
        <v>0.4</v>
      </c>
      <c r="H15" s="29">
        <v>0.4</v>
      </c>
      <c r="I15" s="29">
        <v>0.4</v>
      </c>
      <c r="J15" s="30">
        <v>0.4</v>
      </c>
    </row>
    <row r="16" spans="1:10" x14ac:dyDescent="0.25">
      <c r="A16" s="118"/>
      <c r="B16" s="32"/>
      <c r="C16" s="32"/>
      <c r="D16" s="32"/>
      <c r="E16" s="32"/>
      <c r="F16" s="32"/>
      <c r="G16" s="32"/>
      <c r="H16" s="32"/>
      <c r="I16" s="32"/>
      <c r="J16" s="33"/>
    </row>
    <row r="17" spans="1:10" x14ac:dyDescent="0.25">
      <c r="A17" s="118" t="s">
        <v>250</v>
      </c>
      <c r="B17" s="103">
        <f>B14/(VLOOKUP("VAR",convchutes,2,FALSE)+VLOOKUP("VAR",convchutes,3,FALSE)*(1-B15)/B15)</f>
        <v>178.31175081046032</v>
      </c>
      <c r="C17" s="103">
        <f>C14/(VLOOKUP("VAR",convchutes,2,FALSE)+VLOOKUP("VAR",convchutes,3,FALSE)*(1-C15)/C15)</f>
        <v>298.81255748865357</v>
      </c>
      <c r="D17" s="103">
        <f>D14/(VLOOKUP("VAR",convchutes,2,FALSE)+VLOOKUP("VAR",convchutes,3,FALSE)*(1-D15)/D15)</f>
        <v>740.77089118219158</v>
      </c>
      <c r="E17" s="103">
        <f>E14/(VLOOKUP("VAR",convchutes,2,FALSE)+VLOOKUP("VAR",convchutes,3,FALSE)*(1-E15)/E15)</f>
        <v>855.54845655932616</v>
      </c>
      <c r="F17" s="103">
        <f>F14/(VLOOKUP("VAR",convchutes,2,FALSE)+VLOOKUP("VAR",convchutes,3,FALSE)*(1-F15)/F15)</f>
        <v>920.48353706505316</v>
      </c>
      <c r="G17" s="103">
        <f>G14/(VLOOKUP("VAR",convchutes,2,FALSE)+VLOOKUP("VAR",convchutes,3,FALSE)*(1-G15)/G15)</f>
        <v>923.07172757726403</v>
      </c>
      <c r="H17" s="103">
        <f>H14/(VLOOKUP("VAR",convchutes,2,FALSE)+VLOOKUP("VAR",convchutes,3,FALSE)*(1-H15)/H15)</f>
        <v>923.07172757726403</v>
      </c>
      <c r="I17" s="103">
        <f>I14/(VLOOKUP("VAR",convchutes,2,FALSE)+VLOOKUP("VAR",convchutes,3,FALSE)*(1-I15)/I15)</f>
        <v>913.77280440890445</v>
      </c>
      <c r="J17" s="104">
        <f>J14/(VLOOKUP("VAR",convchutes,2,FALSE)+VLOOKUP("VAR",convchutes,3,FALSE)*(1-J15)/J15)</f>
        <v>913.96951393991787</v>
      </c>
    </row>
    <row r="18" spans="1:10" ht="15.75" thickBot="1" x14ac:dyDescent="0.3">
      <c r="A18" s="119" t="s">
        <v>249</v>
      </c>
      <c r="B18" s="99">
        <f>B14/(VLOOKUP("VAR",convchutes,3,FALSE)+VLOOKUP("VAR",convchutes,2,FALSE)*B15/(1-B15))</f>
        <v>267.46762621569047</v>
      </c>
      <c r="C18" s="99">
        <f>C14/(VLOOKUP("VAR",convchutes,3,FALSE)+VLOOKUP("VAR",convchutes,2,FALSE)*C15/(1-C15))</f>
        <v>448.21883623298032</v>
      </c>
      <c r="D18" s="99">
        <f>D14/(VLOOKUP("VAR",convchutes,3,FALSE)+VLOOKUP("VAR",convchutes,2,FALSE)*D15/(1-D15))</f>
        <v>1111.1563367732874</v>
      </c>
      <c r="E18" s="99">
        <f>E14/(VLOOKUP("VAR",convchutes,3,FALSE)+VLOOKUP("VAR",convchutes,2,FALSE)*E15/(1-E15))</f>
        <v>1283.3226848389891</v>
      </c>
      <c r="F18" s="99">
        <f>F14/(VLOOKUP("VAR",convchutes,3,FALSE)+VLOOKUP("VAR",convchutes,2,FALSE)*F15/(1-F15))</f>
        <v>1380.7253055975796</v>
      </c>
      <c r="G18" s="99">
        <f>G14/(VLOOKUP("VAR",convchutes,3,FALSE)+VLOOKUP("VAR",convchutes,2,FALSE)*G15/(1-G15))</f>
        <v>1384.607591365896</v>
      </c>
      <c r="H18" s="99">
        <f>H14/(VLOOKUP("VAR",convchutes,3,FALSE)+VLOOKUP("VAR",convchutes,2,FALSE)*H15/(1-H15))</f>
        <v>1384.607591365896</v>
      </c>
      <c r="I18" s="99">
        <f>I14/(VLOOKUP("VAR",convchutes,3,FALSE)+VLOOKUP("VAR",convchutes,2,FALSE)*I15/(1-I15))</f>
        <v>1370.6592066133567</v>
      </c>
      <c r="J18" s="100">
        <f>J14/(VLOOKUP("VAR",convchutes,3,FALSE)+VLOOKUP("VAR",convchutes,2,FALSE)*J15/(1-J15))</f>
        <v>1370.9542709098769</v>
      </c>
    </row>
    <row r="19" spans="1:10" x14ac:dyDescent="0.25">
      <c r="A19" s="117" t="s">
        <v>251</v>
      </c>
      <c r="B19" s="101">
        <f>GETPIVOTDATA("Somme de Px Massifs UKAD k$",Massifs!$A$26,"Année",B1)+GETPIVOTDATA("Somme de Px Massifs AD k$",Massifs!$A$26,"Année",B1)+GETPIVOTDATA("Somme de Px Massifs Client k$",Massifs!$A$26,"Année",B1)</f>
        <v>116.24374999999999</v>
      </c>
      <c r="C19" s="101">
        <f>GETPIVOTDATA("Somme de Px Massifs UKAD k$",Massifs!$A$26,"Année",C1)+GETPIVOTDATA("Somme de Px Massifs AD k$",Massifs!$A$26,"Année",C1)+GETPIVOTDATA("Somme de Px Massifs Client k$",Massifs!$A$26,"Année",C1)</f>
        <v>212.72499999999999</v>
      </c>
      <c r="D19" s="101">
        <f>GETPIVOTDATA("Somme de Px Massifs UKAD k$",Massifs!$A$26,"Année",D1)+GETPIVOTDATA("Somme de Px Massifs AD k$",Massifs!$A$26,"Année",D1)+GETPIVOTDATA("Somme de Px Massifs Client k$",Massifs!$A$26,"Année",D1)</f>
        <v>383.32499999999999</v>
      </c>
      <c r="E19" s="101">
        <f>GETPIVOTDATA("Somme de Px Massifs UKAD k$",Massifs!$A$26,"Année",E1)+GETPIVOTDATA("Somme de Px Massifs AD k$",Massifs!$A$26,"Année",E1)+GETPIVOTDATA("Somme de Px Massifs Client k$",Massifs!$A$26,"Année",E1)</f>
        <v>441.96249999999998</v>
      </c>
      <c r="F19" s="101">
        <f>GETPIVOTDATA("Somme de Px Massifs UKAD k$",Massifs!$A$26,"Année",F1)+GETPIVOTDATA("Somme de Px Massifs AD k$",Massifs!$A$26,"Année",F1)+GETPIVOTDATA("Somme de Px Massifs Client k$",Massifs!$A$26,"Année",F1)</f>
        <v>465.32499999999999</v>
      </c>
      <c r="G19" s="101">
        <f>GETPIVOTDATA("Somme de Px Massifs UKAD k$",Massifs!$A$26,"Année",G1)+GETPIVOTDATA("Somme de Px Massifs AD k$",Massifs!$A$26,"Année",G1)+GETPIVOTDATA("Somme de Px Massifs Client k$",Massifs!$A$26,"Année",G1)</f>
        <v>465.58749999999998</v>
      </c>
      <c r="H19" s="101">
        <f>GETPIVOTDATA("Somme de Px Massifs UKAD k$",Massifs!$A$26,"Année",H1)+GETPIVOTDATA("Somme de Px Massifs AD k$",Massifs!$A$26,"Année",H1)+GETPIVOTDATA("Somme de Px Massifs Client k$",Massifs!$A$26,"Année",H1)</f>
        <v>465.58749999999998</v>
      </c>
      <c r="I19" s="101">
        <f>GETPIVOTDATA("Somme de Px Massifs UKAD k$",Massifs!$A$26,"Année",I1)+GETPIVOTDATA("Somme de Px Massifs AD k$",Massifs!$A$26,"Année",I1)+GETPIVOTDATA("Somme de Px Massifs Client k$",Massifs!$A$26,"Année",I1)</f>
        <v>465.41249999999997</v>
      </c>
      <c r="J19" s="102">
        <f>GETPIVOTDATA("Somme de Px Massifs UKAD k$",Massifs!$A$26,"Année",J1)+GETPIVOTDATA("Somme de Px Massifs AD k$",Massifs!$A$26,"Année",J1)+GETPIVOTDATA("Somme de Px Massifs Client k$",Massifs!$A$26,"Année",J1)</f>
        <v>465.41249999999997</v>
      </c>
    </row>
    <row r="20" spans="1:10" x14ac:dyDescent="0.25">
      <c r="A20" s="118" t="s">
        <v>252</v>
      </c>
      <c r="B20" s="103">
        <f>GETPIVOTDATA("Somme de Px Massifs Négoce k$",Massifs!$A$26,"Année",B1)</f>
        <v>243.99149999999997</v>
      </c>
      <c r="C20" s="103">
        <f>GETPIVOTDATA("Somme de Px Massifs Négoce k$",Massifs!$A$26,"Année",C1)</f>
        <v>282.31649999999996</v>
      </c>
      <c r="D20" s="103">
        <f>GETPIVOTDATA("Somme de Px Massifs Négoce k$",Massifs!$A$26,"Année",D1)</f>
        <v>298.06649999999996</v>
      </c>
      <c r="E20" s="103">
        <f>GETPIVOTDATA("Somme de Px Massifs Négoce k$",Massifs!$A$26,"Année",E1)</f>
        <v>377.86649999999997</v>
      </c>
      <c r="F20" s="103">
        <f>GETPIVOTDATA("Somme de Px Massifs Négoce k$",Massifs!$A$26,"Année",F1)</f>
        <v>395.19149999999996</v>
      </c>
      <c r="G20" s="103">
        <f>GETPIVOTDATA("Somme de Px Massifs Négoce k$",Massifs!$A$26,"Année",G1)</f>
        <v>395.19149999999996</v>
      </c>
      <c r="H20" s="103">
        <f>GETPIVOTDATA("Somme de Px Massifs Négoce k$",Massifs!$A$26,"Année",H1)</f>
        <v>395.19149999999996</v>
      </c>
      <c r="I20" s="103">
        <f>GETPIVOTDATA("Somme de Px Massifs Négoce k$",Massifs!$A$26,"Année",I1)</f>
        <v>395.19149999999996</v>
      </c>
      <c r="J20" s="104">
        <f>GETPIVOTDATA("Somme de Px Massifs Négoce k$",Massifs!$A$26,"Année",J1)</f>
        <v>395.19149999999996</v>
      </c>
    </row>
    <row r="21" spans="1:10" x14ac:dyDescent="0.25">
      <c r="A21" s="118" t="s">
        <v>253</v>
      </c>
      <c r="B21" s="97">
        <f>B19+B20</f>
        <v>360.23524999999995</v>
      </c>
      <c r="C21" s="97">
        <f t="shared" ref="C21:J21" si="2">C19+C20</f>
        <v>495.04149999999993</v>
      </c>
      <c r="D21" s="97">
        <f t="shared" si="2"/>
        <v>681.39149999999995</v>
      </c>
      <c r="E21" s="97">
        <f t="shared" si="2"/>
        <v>819.82899999999995</v>
      </c>
      <c r="F21" s="97">
        <f t="shared" si="2"/>
        <v>860.51649999999995</v>
      </c>
      <c r="G21" s="97">
        <f t="shared" si="2"/>
        <v>860.779</v>
      </c>
      <c r="H21" s="97">
        <f t="shared" si="2"/>
        <v>860.779</v>
      </c>
      <c r="I21" s="97">
        <f t="shared" si="2"/>
        <v>860.60399999999993</v>
      </c>
      <c r="J21" s="98">
        <f t="shared" si="2"/>
        <v>860.60399999999993</v>
      </c>
    </row>
    <row r="22" spans="1:10" x14ac:dyDescent="0.25">
      <c r="A22" s="118" t="s">
        <v>254</v>
      </c>
      <c r="B22" s="103">
        <f>GETPIVOTDATA("Somme de Px Copeaux UKAD k$",Copeaux!$A$26,"Année",B1)+GETPIVOTDATA("Somme de Px Copeaux AD k$",Copeaux!$A$26,"Année",B1)+GETPIVOTDATA("Somme de Px Copeaux Client k$",Copeaux!$A$26,"Année",B1)</f>
        <v>156.53025</v>
      </c>
      <c r="C22" s="103">
        <f>GETPIVOTDATA("Somme de Px Copeaux UKAD k$",Copeaux!$A$26,"Année",C1)+GETPIVOTDATA("Somme de Px Copeaux AD k$",Copeaux!$A$26,"Année",C1)+GETPIVOTDATA("Somme de Px Copeaux Client k$",Copeaux!$A$26,"Année",C1)</f>
        <v>296.42849999999999</v>
      </c>
      <c r="D22" s="103">
        <f>GETPIVOTDATA("Somme de Px Copeaux UKAD k$",Copeaux!$A$26,"Année",D1)+GETPIVOTDATA("Somme de Px Copeaux AD k$",Copeaux!$A$26,"Année",D1)+GETPIVOTDATA("Somme de Px Copeaux Client k$",Copeaux!$A$26,"Année",D1)</f>
        <v>453.33449999999999</v>
      </c>
      <c r="E22" s="103">
        <f>GETPIVOTDATA("Somme de Px Copeaux UKAD k$",Copeaux!$A$26,"Année",E1)+GETPIVOTDATA("Somme de Px Copeaux AD k$",Copeaux!$A$26,"Année",E1)+GETPIVOTDATA("Somme de Px Copeaux Client k$",Copeaux!$A$26,"Année",E1)</f>
        <v>477.279</v>
      </c>
      <c r="F22" s="103">
        <f>GETPIVOTDATA("Somme de Px Copeaux UKAD k$",Copeaux!$A$26,"Année",F1)+GETPIVOTDATA("Somme de Px Copeaux AD k$",Copeaux!$A$26,"Année",F1)+GETPIVOTDATA("Somme de Px Copeaux Client k$",Copeaux!$A$26,"Année",F1)</f>
        <v>506.06324999999998</v>
      </c>
      <c r="G22" s="103">
        <f>GETPIVOTDATA("Somme de Px Copeaux UKAD k$",Copeaux!$A$26,"Année",G1)+GETPIVOTDATA("Somme de Px Copeaux AD k$",Copeaux!$A$26,"Année",G1)+GETPIVOTDATA("Somme de Px Copeaux Client k$",Copeaux!$A$26,"Année",G1)</f>
        <v>506.23649999999998</v>
      </c>
      <c r="H22" s="103">
        <f>GETPIVOTDATA("Somme de Px Copeaux UKAD k$",Copeaux!$A$26,"Année",H1)+GETPIVOTDATA("Somme de Px Copeaux AD k$",Copeaux!$A$26,"Année",H1)+GETPIVOTDATA("Somme de Px Copeaux Client k$",Copeaux!$A$26,"Année",H1)</f>
        <v>506.23649999999998</v>
      </c>
      <c r="I22" s="103">
        <f>GETPIVOTDATA("Somme de Px Copeaux UKAD k$",Copeaux!$A$26,"Année",I1)+GETPIVOTDATA("Somme de Px Copeaux AD k$",Copeaux!$A$26,"Année",I1)+GETPIVOTDATA("Somme de Px Copeaux Client k$",Copeaux!$A$26,"Année",I1)</f>
        <v>518.94225000000006</v>
      </c>
      <c r="J22" s="104">
        <f>GETPIVOTDATA("Somme de Px Copeaux UKAD k$",Copeaux!$A$26,"Année",J1)+GETPIVOTDATA("Somme de Px Copeaux AD k$",Copeaux!$A$26,"Année",J1)+GETPIVOTDATA("Somme de Px Copeaux Client k$",Copeaux!$A$26,"Année",J1)</f>
        <v>518.94225000000006</v>
      </c>
    </row>
    <row r="23" spans="1:10" x14ac:dyDescent="0.25">
      <c r="A23" s="118" t="s">
        <v>255</v>
      </c>
      <c r="B23" s="103">
        <f>GETPIVOTDATA("Somme de Px Copeaux Négoce k$",Copeaux!$A$26,"Année",B1)</f>
        <v>108.97425</v>
      </c>
      <c r="C23" s="103">
        <f>GETPIVOTDATA("Somme de Px Copeaux Négoce k$",Copeaux!$A$26,"Année",C1)</f>
        <v>133.22924999999998</v>
      </c>
      <c r="D23" s="103">
        <f>GETPIVOTDATA("Somme de Px Copeaux Négoce k$",Copeaux!$A$26,"Année",D1)</f>
        <v>143.62424999999999</v>
      </c>
      <c r="E23" s="103">
        <f>GETPIVOTDATA("Somme de Px Copeaux Négoce k$",Copeaux!$A$26,"Année",E1)</f>
        <v>195.59924999999998</v>
      </c>
      <c r="F23" s="103">
        <f>GETPIVOTDATA("Somme de Px Copeaux Négoce k$",Copeaux!$A$26,"Année",F1)</f>
        <v>205.99424999999997</v>
      </c>
      <c r="G23" s="103">
        <f>GETPIVOTDATA("Somme de Px Copeaux Négoce k$",Copeaux!$A$26,"Année",G1)</f>
        <v>205.99424999999997</v>
      </c>
      <c r="H23" s="103">
        <f>GETPIVOTDATA("Somme de Px Copeaux Négoce k$",Copeaux!$A$26,"Année",H1)</f>
        <v>205.99424999999997</v>
      </c>
      <c r="I23" s="103">
        <f>GETPIVOTDATA("Somme de Px Copeaux Négoce k$",Copeaux!$A$26,"Année",I1)</f>
        <v>205.99424999999997</v>
      </c>
      <c r="J23" s="104">
        <f>GETPIVOTDATA("Somme de Px Copeaux Négoce k$",Copeaux!$A$26,"Année",J1)</f>
        <v>205.99424999999997</v>
      </c>
    </row>
    <row r="24" spans="1:10" x14ac:dyDescent="0.25">
      <c r="A24" s="118" t="s">
        <v>256</v>
      </c>
      <c r="B24" s="97">
        <f>B22+B23</f>
        <v>265.50450000000001</v>
      </c>
      <c r="C24" s="97">
        <f t="shared" ref="C24:J24" si="3">C22+C23</f>
        <v>429.65774999999996</v>
      </c>
      <c r="D24" s="97">
        <f t="shared" si="3"/>
        <v>596.95875000000001</v>
      </c>
      <c r="E24" s="97">
        <f t="shared" si="3"/>
        <v>672.87824999999998</v>
      </c>
      <c r="F24" s="97">
        <f t="shared" si="3"/>
        <v>712.05749999999989</v>
      </c>
      <c r="G24" s="97">
        <f t="shared" si="3"/>
        <v>712.23074999999994</v>
      </c>
      <c r="H24" s="97">
        <f t="shared" si="3"/>
        <v>712.23074999999994</v>
      </c>
      <c r="I24" s="97">
        <f t="shared" si="3"/>
        <v>724.93650000000002</v>
      </c>
      <c r="J24" s="98">
        <f t="shared" si="3"/>
        <v>724.93650000000002</v>
      </c>
    </row>
    <row r="25" spans="1:10" ht="15.75" thickBot="1" x14ac:dyDescent="0.3">
      <c r="A25" s="119" t="s">
        <v>259</v>
      </c>
      <c r="B25" s="107">
        <f>B21+B24</f>
        <v>625.73974999999996</v>
      </c>
      <c r="C25" s="107">
        <f>C21+C24</f>
        <v>924.69924999999989</v>
      </c>
      <c r="D25" s="107">
        <f>D21+D24</f>
        <v>1278.35025</v>
      </c>
      <c r="E25" s="107">
        <f>E21+E24</f>
        <v>1492.7072499999999</v>
      </c>
      <c r="F25" s="107">
        <f>F21+F24</f>
        <v>1572.5739999999998</v>
      </c>
      <c r="G25" s="107">
        <f>G21+G24</f>
        <v>1573.0097499999999</v>
      </c>
      <c r="H25" s="107">
        <f>H21+H24</f>
        <v>1573.0097499999999</v>
      </c>
      <c r="I25" s="107">
        <f>I21+I24</f>
        <v>1585.5405000000001</v>
      </c>
      <c r="J25" s="108">
        <f>J21+J24</f>
        <v>1585.5405000000001</v>
      </c>
    </row>
    <row r="26" spans="1:10" x14ac:dyDescent="0.25">
      <c r="A26" s="117" t="s">
        <v>257</v>
      </c>
      <c r="B26" s="111">
        <f>VLOOKUP("Marché 1",pxmassif,B1-2010,FALSE)*B17</f>
        <v>2228.8968851307541</v>
      </c>
      <c r="C26" s="111">
        <f>VLOOKUP("Marché 1",pxmassif,C1-2010,FALSE)*C17</f>
        <v>3735.1569686081698</v>
      </c>
      <c r="D26" s="111">
        <f>VLOOKUP("Marché 1",pxmassif,D1-2010,FALSE)*D17</f>
        <v>9259.6361397773944</v>
      </c>
      <c r="E26" s="111">
        <f>VLOOKUP("Marché 1",pxmassif,E1-2010,FALSE)*E17</f>
        <v>10694.355706991577</v>
      </c>
      <c r="F26" s="111">
        <f>VLOOKUP("Marché 1",pxmassif,F1-2010,FALSE)*F17</f>
        <v>11506.044213313164</v>
      </c>
      <c r="G26" s="111">
        <f>VLOOKUP("Marché 1",pxmassif,G1-2010,FALSE)*G17</f>
        <v>11538.396594715799</v>
      </c>
      <c r="H26" s="111">
        <f>VLOOKUP("Marché 1",pxmassif,H1-2010,FALSE)*H17</f>
        <v>11538.396594715799</v>
      </c>
      <c r="I26" s="111">
        <f>VLOOKUP("Marché 1",pxmassif,I1-2010,FALSE)*I17</f>
        <v>11422.160055111306</v>
      </c>
      <c r="J26" s="112">
        <f>VLOOKUP("Marché 1",pxmassif,J1-2010,FALSE)*J17</f>
        <v>11424.618924248973</v>
      </c>
    </row>
    <row r="27" spans="1:10" x14ac:dyDescent="0.25">
      <c r="A27" s="118" t="s">
        <v>258</v>
      </c>
      <c r="B27" s="113">
        <f>VLOOKUP("Marché 1",pxcopeau,B1-2010,FALSE)*B18</f>
        <v>2006.0071966176786</v>
      </c>
      <c r="C27" s="113">
        <f>VLOOKUP("Marché 1",pxcopeau,C1-2010,FALSE)*C18</f>
        <v>3361.6412717473522</v>
      </c>
      <c r="D27" s="113">
        <f>VLOOKUP("Marché 1",pxcopeau,D1-2010,FALSE)*D18</f>
        <v>8333.672525799655</v>
      </c>
      <c r="E27" s="113">
        <f>VLOOKUP("Marché 1",pxcopeau,E1-2010,FALSE)*E18</f>
        <v>9624.9201362924177</v>
      </c>
      <c r="F27" s="113">
        <f>VLOOKUP("Marché 1",pxcopeau,F1-2010,FALSE)*F18</f>
        <v>10355.439791981848</v>
      </c>
      <c r="G27" s="113">
        <f>VLOOKUP("Marché 1",pxcopeau,G1-2010,FALSE)*G18</f>
        <v>10384.55693524422</v>
      </c>
      <c r="H27" s="113">
        <f>VLOOKUP("Marché 1",pxcopeau,H1-2010,FALSE)*H18</f>
        <v>10384.55693524422</v>
      </c>
      <c r="I27" s="113">
        <f>VLOOKUP("Marché 1",pxcopeau,I1-2010,FALSE)*I18</f>
        <v>10279.944049600175</v>
      </c>
      <c r="J27" s="114">
        <f>VLOOKUP("Marché 1",pxcopeau,J1-2010,FALSE)*J18</f>
        <v>10282.157031824077</v>
      </c>
    </row>
    <row r="28" spans="1:10" ht="15.75" thickBot="1" x14ac:dyDescent="0.3">
      <c r="A28" s="119" t="s">
        <v>260</v>
      </c>
      <c r="B28" s="107">
        <f>B26+B27</f>
        <v>4234.9040817484329</v>
      </c>
      <c r="C28" s="107">
        <f t="shared" ref="C28:J28" si="4">C26+C27</f>
        <v>7096.7982403555216</v>
      </c>
      <c r="D28" s="107">
        <f t="shared" si="4"/>
        <v>17593.308665577049</v>
      </c>
      <c r="E28" s="107">
        <f t="shared" si="4"/>
        <v>20319.275843283995</v>
      </c>
      <c r="F28" s="107">
        <f t="shared" si="4"/>
        <v>21861.484005295009</v>
      </c>
      <c r="G28" s="107">
        <f t="shared" si="4"/>
        <v>21922.953529960017</v>
      </c>
      <c r="H28" s="107">
        <f t="shared" si="4"/>
        <v>21922.953529960017</v>
      </c>
      <c r="I28" s="107">
        <f t="shared" si="4"/>
        <v>21702.104104711481</v>
      </c>
      <c r="J28" s="108">
        <f t="shared" si="4"/>
        <v>21706.775956073048</v>
      </c>
    </row>
    <row r="29" spans="1:10" ht="15.75" thickBot="1" x14ac:dyDescent="0.3">
      <c r="A29" s="122" t="s">
        <v>261</v>
      </c>
      <c r="B29" s="115">
        <f>B25+B28</f>
        <v>4860.6438317484326</v>
      </c>
      <c r="C29" s="115">
        <f t="shared" ref="C29:J29" si="5">C25+C28</f>
        <v>8021.4974903555212</v>
      </c>
      <c r="D29" s="115">
        <f t="shared" si="5"/>
        <v>18871.658915577049</v>
      </c>
      <c r="E29" s="115">
        <f t="shared" si="5"/>
        <v>21811.983093283994</v>
      </c>
      <c r="F29" s="115">
        <f t="shared" si="5"/>
        <v>23434.05800529501</v>
      </c>
      <c r="G29" s="115">
        <f t="shared" si="5"/>
        <v>23495.963279960019</v>
      </c>
      <c r="H29" s="115">
        <f t="shared" si="5"/>
        <v>23495.963279960019</v>
      </c>
      <c r="I29" s="115">
        <f t="shared" si="5"/>
        <v>23287.64460471148</v>
      </c>
      <c r="J29" s="116">
        <f t="shared" si="5"/>
        <v>23292.316456073047</v>
      </c>
    </row>
  </sheetData>
  <pageMargins left="0.23622047244094491" right="0.23622047244094491" top="1.1417322834645669" bottom="0.74803149606299213" header="0.31496062992125984" footer="0.31496062992125984"/>
  <pageSetup paperSize="9" orientation="landscape" r:id="rId1"/>
  <headerFooter>
    <oddHeader>&amp;C&amp;"Century,Gras"&amp;18Synthèse Business Plan
EcoTitanium</oddHeader>
    <oddFooter>&amp;L&amp;"-,Gras"AD Confidentiel / P Delaborde, R Allier&amp;C&amp;D&amp;RPage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C33" sqref="C33"/>
    </sheetView>
  </sheetViews>
  <sheetFormatPr baseColWidth="10" defaultRowHeight="15" x14ac:dyDescent="0.25"/>
  <cols>
    <col min="1" max="1" width="17.5703125" customWidth="1"/>
    <col min="2" max="19" width="44.42578125" bestFit="1" customWidth="1"/>
    <col min="20" max="20" width="49.42578125" bestFit="1" customWidth="1"/>
    <col min="21" max="21" width="47.28515625" bestFit="1" customWidth="1"/>
    <col min="22" max="27" width="44.42578125" bestFit="1" customWidth="1"/>
    <col min="28" max="28" width="49.42578125" bestFit="1" customWidth="1"/>
    <col min="29" max="29" width="47.28515625" bestFit="1" customWidth="1"/>
  </cols>
  <sheetData>
    <row r="1" spans="1:21" x14ac:dyDescent="0.25">
      <c r="A1" s="23" t="s">
        <v>40</v>
      </c>
      <c r="B1" s="24" t="s">
        <v>69</v>
      </c>
    </row>
    <row r="2" spans="1:21" x14ac:dyDescent="0.25">
      <c r="A2" s="23" t="s">
        <v>27</v>
      </c>
      <c r="B2" s="24" t="s">
        <v>66</v>
      </c>
    </row>
    <row r="4" spans="1:21" x14ac:dyDescent="0.25">
      <c r="A4" s="9"/>
      <c r="B4" s="6" t="s">
        <v>51</v>
      </c>
      <c r="C4" s="47" t="s">
        <v>107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</row>
    <row r="5" spans="1:21" x14ac:dyDescent="0.25">
      <c r="A5" s="40"/>
      <c r="B5" s="9">
        <v>2016</v>
      </c>
      <c r="C5" s="7"/>
      <c r="D5" s="9">
        <v>2017</v>
      </c>
      <c r="E5" s="7"/>
      <c r="F5" s="9">
        <v>2018</v>
      </c>
      <c r="G5" s="7"/>
      <c r="H5" s="9">
        <v>2019</v>
      </c>
      <c r="I5" s="7"/>
      <c r="J5" s="9">
        <v>2020</v>
      </c>
      <c r="K5" s="7"/>
      <c r="L5" s="9">
        <v>2021</v>
      </c>
      <c r="M5" s="7"/>
      <c r="N5" s="9">
        <v>2022</v>
      </c>
      <c r="O5" s="7"/>
      <c r="P5" s="9">
        <v>2023</v>
      </c>
      <c r="Q5" s="7"/>
      <c r="R5" s="9">
        <v>2024</v>
      </c>
      <c r="S5" s="7"/>
      <c r="T5" s="9" t="s">
        <v>164</v>
      </c>
      <c r="U5" s="11" t="s">
        <v>165</v>
      </c>
    </row>
    <row r="6" spans="1:21" x14ac:dyDescent="0.25">
      <c r="A6" s="6" t="s">
        <v>0</v>
      </c>
      <c r="B6" s="9" t="s">
        <v>162</v>
      </c>
      <c r="C6" s="10" t="s">
        <v>163</v>
      </c>
      <c r="D6" s="9" t="s">
        <v>162</v>
      </c>
      <c r="E6" s="10" t="s">
        <v>163</v>
      </c>
      <c r="F6" s="9" t="s">
        <v>162</v>
      </c>
      <c r="G6" s="10" t="s">
        <v>163</v>
      </c>
      <c r="H6" s="9" t="s">
        <v>162</v>
      </c>
      <c r="I6" s="10" t="s">
        <v>163</v>
      </c>
      <c r="J6" s="9" t="s">
        <v>162</v>
      </c>
      <c r="K6" s="10" t="s">
        <v>163</v>
      </c>
      <c r="L6" s="9" t="s">
        <v>162</v>
      </c>
      <c r="M6" s="10" t="s">
        <v>163</v>
      </c>
      <c r="N6" s="9" t="s">
        <v>162</v>
      </c>
      <c r="O6" s="10" t="s">
        <v>163</v>
      </c>
      <c r="P6" s="9" t="s">
        <v>162</v>
      </c>
      <c r="Q6" s="10" t="s">
        <v>163</v>
      </c>
      <c r="R6" s="9" t="s">
        <v>162</v>
      </c>
      <c r="S6" s="10" t="s">
        <v>163</v>
      </c>
      <c r="T6" s="40"/>
      <c r="U6" s="48"/>
    </row>
    <row r="7" spans="1:21" x14ac:dyDescent="0.25">
      <c r="A7" s="9" t="s">
        <v>67</v>
      </c>
      <c r="B7" s="58">
        <v>180.21474999999998</v>
      </c>
      <c r="C7" s="59">
        <v>61.785250000000012</v>
      </c>
      <c r="D7" s="58">
        <v>360.42949999999996</v>
      </c>
      <c r="E7" s="59">
        <v>123.57050000000002</v>
      </c>
      <c r="F7" s="58">
        <v>540.64424999999994</v>
      </c>
      <c r="G7" s="59">
        <v>185.35575000000003</v>
      </c>
      <c r="H7" s="58">
        <v>540.64424999999994</v>
      </c>
      <c r="I7" s="59">
        <v>185.35575000000003</v>
      </c>
      <c r="J7" s="58">
        <v>540.64424999999994</v>
      </c>
      <c r="K7" s="59">
        <v>185.35575000000003</v>
      </c>
      <c r="L7" s="58">
        <v>540.64424999999994</v>
      </c>
      <c r="M7" s="59">
        <v>185.35575000000003</v>
      </c>
      <c r="N7" s="58">
        <v>540.64424999999994</v>
      </c>
      <c r="O7" s="59">
        <v>185.35575000000003</v>
      </c>
      <c r="P7" s="58">
        <v>540.64424999999994</v>
      </c>
      <c r="Q7" s="59">
        <v>185.35575000000003</v>
      </c>
      <c r="R7" s="58">
        <v>540.64424999999994</v>
      </c>
      <c r="S7" s="59">
        <v>185.35575000000003</v>
      </c>
      <c r="T7" s="58">
        <v>4325.1539999999995</v>
      </c>
      <c r="U7" s="60">
        <v>1482.846</v>
      </c>
    </row>
    <row r="8" spans="1:21" x14ac:dyDescent="0.25">
      <c r="A8" s="15" t="s">
        <v>70</v>
      </c>
      <c r="B8" s="61">
        <v>81.523654999999991</v>
      </c>
      <c r="C8" s="62">
        <v>39.476345000000002</v>
      </c>
      <c r="D8" s="61">
        <v>163.04730999999998</v>
      </c>
      <c r="E8" s="62">
        <v>78.952690000000004</v>
      </c>
      <c r="F8" s="61">
        <v>244.57096499999997</v>
      </c>
      <c r="G8" s="62">
        <v>118.429035</v>
      </c>
      <c r="H8" s="61">
        <v>244.57096499999997</v>
      </c>
      <c r="I8" s="62">
        <v>118.429035</v>
      </c>
      <c r="J8" s="61">
        <v>244.57096499999997</v>
      </c>
      <c r="K8" s="62">
        <v>118.429035</v>
      </c>
      <c r="L8" s="61">
        <v>244.57096499999997</v>
      </c>
      <c r="M8" s="62">
        <v>118.429035</v>
      </c>
      <c r="N8" s="61">
        <v>244.57096499999997</v>
      </c>
      <c r="O8" s="62">
        <v>118.429035</v>
      </c>
      <c r="P8" s="61">
        <v>244.57096499999997</v>
      </c>
      <c r="Q8" s="62">
        <v>118.429035</v>
      </c>
      <c r="R8" s="61">
        <v>244.57096499999997</v>
      </c>
      <c r="S8" s="62">
        <v>118.429035</v>
      </c>
      <c r="T8" s="61">
        <v>1956.5677199999996</v>
      </c>
      <c r="U8" s="63">
        <v>947.43227999999999</v>
      </c>
    </row>
    <row r="9" spans="1:21" x14ac:dyDescent="0.25">
      <c r="A9" s="15" t="s">
        <v>83</v>
      </c>
      <c r="B9" s="61">
        <v>1.0346175</v>
      </c>
      <c r="C9" s="62">
        <v>11.0653825</v>
      </c>
      <c r="D9" s="61">
        <v>3.1038524999999999</v>
      </c>
      <c r="E9" s="62">
        <v>33.196147500000002</v>
      </c>
      <c r="F9" s="61">
        <v>5.1730874999999994</v>
      </c>
      <c r="G9" s="62">
        <v>55.326912500000006</v>
      </c>
      <c r="H9" s="61">
        <v>5.1730874999999994</v>
      </c>
      <c r="I9" s="62">
        <v>55.326912500000006</v>
      </c>
      <c r="J9" s="61">
        <v>5.1730874999999994</v>
      </c>
      <c r="K9" s="62">
        <v>55.326912500000006</v>
      </c>
      <c r="L9" s="61">
        <v>5.1730874999999994</v>
      </c>
      <c r="M9" s="62">
        <v>55.326912500000006</v>
      </c>
      <c r="N9" s="61">
        <v>5.1730874999999994</v>
      </c>
      <c r="O9" s="62">
        <v>55.326912500000006</v>
      </c>
      <c r="P9" s="61">
        <v>5.1730874999999994</v>
      </c>
      <c r="Q9" s="62">
        <v>55.326912500000006</v>
      </c>
      <c r="R9" s="61">
        <v>5.1730874999999994</v>
      </c>
      <c r="S9" s="62">
        <v>55.326912500000006</v>
      </c>
      <c r="T9" s="61">
        <v>40.350082499999999</v>
      </c>
      <c r="U9" s="63">
        <v>431.54991749999999</v>
      </c>
    </row>
    <row r="10" spans="1:21" x14ac:dyDescent="0.25">
      <c r="A10" s="15" t="s">
        <v>72</v>
      </c>
      <c r="B10" s="61">
        <v>9.7017500000000005</v>
      </c>
      <c r="C10" s="62">
        <v>48.298249999999996</v>
      </c>
      <c r="D10" s="61">
        <v>19.403500000000001</v>
      </c>
      <c r="E10" s="62">
        <v>96.596499999999992</v>
      </c>
      <c r="F10" s="61">
        <v>77.614000000000004</v>
      </c>
      <c r="G10" s="62">
        <v>386.38599999999997</v>
      </c>
      <c r="H10" s="61">
        <v>116.42100000000001</v>
      </c>
      <c r="I10" s="62">
        <v>579.57899999999995</v>
      </c>
      <c r="J10" s="61">
        <v>126.12275000000001</v>
      </c>
      <c r="K10" s="62">
        <v>627.87725</v>
      </c>
      <c r="L10" s="61">
        <v>126.12275000000001</v>
      </c>
      <c r="M10" s="62">
        <v>627.87725</v>
      </c>
      <c r="N10" s="61">
        <v>126.12275000000001</v>
      </c>
      <c r="O10" s="62">
        <v>627.87725</v>
      </c>
      <c r="P10" s="61">
        <v>126.12275000000001</v>
      </c>
      <c r="Q10" s="62">
        <v>627.87725</v>
      </c>
      <c r="R10" s="61">
        <v>126.12275000000001</v>
      </c>
      <c r="S10" s="62">
        <v>627.87725</v>
      </c>
      <c r="T10" s="61">
        <v>853.75400000000002</v>
      </c>
      <c r="U10" s="63">
        <v>4250.2459999999992</v>
      </c>
    </row>
    <row r="11" spans="1:21" x14ac:dyDescent="0.25">
      <c r="A11" s="15" t="s">
        <v>39</v>
      </c>
      <c r="B11" s="61">
        <v>5.5897500000000004</v>
      </c>
      <c r="C11" s="62">
        <v>64.960250000000002</v>
      </c>
      <c r="D11" s="61">
        <v>16.76925</v>
      </c>
      <c r="E11" s="62">
        <v>194.88074999999998</v>
      </c>
      <c r="F11" s="61">
        <v>33.538499999999999</v>
      </c>
      <c r="G11" s="62">
        <v>389.76149999999996</v>
      </c>
      <c r="H11" s="61">
        <v>33.538499999999999</v>
      </c>
      <c r="I11" s="62">
        <v>389.76149999999996</v>
      </c>
      <c r="J11" s="61">
        <v>33.538499999999999</v>
      </c>
      <c r="K11" s="62">
        <v>389.76149999999996</v>
      </c>
      <c r="L11" s="61">
        <v>33.538499999999999</v>
      </c>
      <c r="M11" s="62">
        <v>389.76149999999996</v>
      </c>
      <c r="N11" s="61">
        <v>33.538499999999999</v>
      </c>
      <c r="O11" s="62">
        <v>389.76149999999996</v>
      </c>
      <c r="P11" s="61">
        <v>33.538499999999999</v>
      </c>
      <c r="Q11" s="62">
        <v>389.76149999999996</v>
      </c>
      <c r="R11" s="61">
        <v>33.538499999999999</v>
      </c>
      <c r="S11" s="62">
        <v>389.76149999999996</v>
      </c>
      <c r="T11" s="61">
        <v>257.12850000000003</v>
      </c>
      <c r="U11" s="63">
        <v>2988.1715000000004</v>
      </c>
    </row>
    <row r="12" spans="1:21" x14ac:dyDescent="0.25">
      <c r="A12" s="15" t="s">
        <v>71</v>
      </c>
      <c r="B12" s="61">
        <v>2.7948750000000002</v>
      </c>
      <c r="C12" s="62">
        <v>32.480125000000001</v>
      </c>
      <c r="D12" s="61">
        <v>5.5897500000000004</v>
      </c>
      <c r="E12" s="62">
        <v>64.960250000000002</v>
      </c>
      <c r="F12" s="61">
        <v>11.179500000000001</v>
      </c>
      <c r="G12" s="62">
        <v>129.9205</v>
      </c>
      <c r="H12" s="61">
        <v>21.241050000000001</v>
      </c>
      <c r="I12" s="62">
        <v>246.84895</v>
      </c>
      <c r="J12" s="61">
        <v>22.359000000000002</v>
      </c>
      <c r="K12" s="62">
        <v>259.84100000000001</v>
      </c>
      <c r="L12" s="61">
        <v>22.359000000000002</v>
      </c>
      <c r="M12" s="62">
        <v>259.84100000000001</v>
      </c>
      <c r="N12" s="61">
        <v>22.359000000000002</v>
      </c>
      <c r="O12" s="62">
        <v>259.84100000000001</v>
      </c>
      <c r="P12" s="61">
        <v>16.76925</v>
      </c>
      <c r="Q12" s="62">
        <v>194.88074999999998</v>
      </c>
      <c r="R12" s="61">
        <v>16.76925</v>
      </c>
      <c r="S12" s="62">
        <v>194.88074999999998</v>
      </c>
      <c r="T12" s="61">
        <v>141.42067500000002</v>
      </c>
      <c r="U12" s="63">
        <v>1643.4943250000001</v>
      </c>
    </row>
    <row r="13" spans="1:21" x14ac:dyDescent="0.25">
      <c r="A13" s="15" t="s">
        <v>38</v>
      </c>
      <c r="B13" s="61">
        <v>11.520293750000002</v>
      </c>
      <c r="C13" s="62">
        <v>18.729706249999996</v>
      </c>
      <c r="D13" s="61">
        <v>23.040587500000004</v>
      </c>
      <c r="E13" s="62">
        <v>37.459412499999992</v>
      </c>
      <c r="F13" s="61">
        <v>46.081175000000009</v>
      </c>
      <c r="G13" s="62">
        <v>74.918824999999984</v>
      </c>
      <c r="H13" s="61">
        <v>87.554232500000012</v>
      </c>
      <c r="I13" s="62">
        <v>142.34576749999997</v>
      </c>
      <c r="J13" s="61">
        <v>137.78843750000001</v>
      </c>
      <c r="K13" s="62">
        <v>225.21156249999999</v>
      </c>
      <c r="L13" s="61">
        <v>137.33335000000002</v>
      </c>
      <c r="M13" s="62">
        <v>225.66664999999995</v>
      </c>
      <c r="N13" s="61">
        <v>137.33335000000002</v>
      </c>
      <c r="O13" s="62">
        <v>225.66664999999995</v>
      </c>
      <c r="P13" s="61">
        <v>159.91885000000002</v>
      </c>
      <c r="Q13" s="62">
        <v>263.58114999999998</v>
      </c>
      <c r="R13" s="61">
        <v>159.46376250000003</v>
      </c>
      <c r="S13" s="62">
        <v>264.03623749999997</v>
      </c>
      <c r="T13" s="61">
        <v>900.03403875000015</v>
      </c>
      <c r="U13" s="63">
        <v>1477.6159612499998</v>
      </c>
    </row>
    <row r="14" spans="1:21" x14ac:dyDescent="0.25">
      <c r="A14" s="15" t="s">
        <v>82</v>
      </c>
      <c r="B14" s="61">
        <v>50.696257499999994</v>
      </c>
      <c r="C14" s="62">
        <v>542.20374249999998</v>
      </c>
      <c r="D14" s="61">
        <v>50.696257499999994</v>
      </c>
      <c r="E14" s="62">
        <v>542.20374249999998</v>
      </c>
      <c r="F14" s="61">
        <v>82.76939999999999</v>
      </c>
      <c r="G14" s="62">
        <v>885.23060000000009</v>
      </c>
      <c r="H14" s="61">
        <v>86.907869999999988</v>
      </c>
      <c r="I14" s="62">
        <v>929.49213000000009</v>
      </c>
      <c r="J14" s="61">
        <v>90.529031249999989</v>
      </c>
      <c r="K14" s="62">
        <v>968.22096875</v>
      </c>
      <c r="L14" s="61">
        <v>91.046339999999987</v>
      </c>
      <c r="M14" s="62">
        <v>973.75366000000008</v>
      </c>
      <c r="N14" s="61">
        <v>91.046339999999987</v>
      </c>
      <c r="O14" s="62">
        <v>973.75366000000008</v>
      </c>
      <c r="P14" s="61">
        <v>91.563648749999999</v>
      </c>
      <c r="Q14" s="62">
        <v>979.28635125000005</v>
      </c>
      <c r="R14" s="61">
        <v>91.563648749999999</v>
      </c>
      <c r="S14" s="62">
        <v>979.28635125000005</v>
      </c>
      <c r="T14" s="61">
        <v>726.81879374999994</v>
      </c>
      <c r="U14" s="63">
        <v>7773.4312062500003</v>
      </c>
    </row>
    <row r="15" spans="1:21" s="64" customFormat="1" x14ac:dyDescent="0.25">
      <c r="A15" s="66" t="s">
        <v>141</v>
      </c>
      <c r="B15" s="66">
        <v>343.07594874999995</v>
      </c>
      <c r="C15" s="67">
        <v>818.99905124999998</v>
      </c>
      <c r="D15" s="66">
        <v>642.08000749999997</v>
      </c>
      <c r="E15" s="67">
        <v>1171.8199924999999</v>
      </c>
      <c r="F15" s="66">
        <v>1041.5708774999998</v>
      </c>
      <c r="G15" s="67">
        <v>2225.3291225000003</v>
      </c>
      <c r="H15" s="66">
        <v>1136.0509549999999</v>
      </c>
      <c r="I15" s="67">
        <v>2647.1390449999999</v>
      </c>
      <c r="J15" s="66">
        <v>1200.7260212499998</v>
      </c>
      <c r="K15" s="67">
        <v>2830.02397875</v>
      </c>
      <c r="L15" s="66">
        <v>1200.7882424999998</v>
      </c>
      <c r="M15" s="67">
        <v>2836.0117574999999</v>
      </c>
      <c r="N15" s="66">
        <v>1200.7882424999998</v>
      </c>
      <c r="O15" s="67">
        <v>2836.0117574999999</v>
      </c>
      <c r="P15" s="66">
        <v>1218.3013012500001</v>
      </c>
      <c r="Q15" s="67">
        <v>2814.4986987500001</v>
      </c>
      <c r="R15" s="66">
        <v>1217.8462137500001</v>
      </c>
      <c r="S15" s="67">
        <v>2814.9537862500001</v>
      </c>
      <c r="T15" s="66">
        <v>9201.2278100000003</v>
      </c>
      <c r="U15" s="68">
        <v>20994.787189999999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22" sqref="E22"/>
    </sheetView>
  </sheetViews>
  <sheetFormatPr baseColWidth="10" defaultRowHeight="15" x14ac:dyDescent="0.25"/>
  <cols>
    <col min="2" max="3" width="11.5703125" bestFit="1" customWidth="1"/>
    <col min="4" max="4" width="15.28515625" bestFit="1" customWidth="1"/>
    <col min="5" max="5" width="35.5703125" bestFit="1" customWidth="1"/>
    <col min="6" max="6" width="11" customWidth="1"/>
    <col min="7" max="8" width="15.28515625" bestFit="1" customWidth="1"/>
  </cols>
  <sheetData>
    <row r="1" spans="1:8" x14ac:dyDescent="0.25"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</row>
    <row r="2" spans="1:8" x14ac:dyDescent="0.25">
      <c r="A2" t="s">
        <v>19</v>
      </c>
      <c r="C2">
        <v>16</v>
      </c>
      <c r="D2">
        <v>150</v>
      </c>
      <c r="E2">
        <v>117</v>
      </c>
      <c r="F2">
        <v>15</v>
      </c>
      <c r="G2">
        <f>0.9*(D2-E2)</f>
        <v>29.7</v>
      </c>
      <c r="H2">
        <f>0.75*(E2-F2)</f>
        <v>76.5</v>
      </c>
    </row>
    <row r="3" spans="1:8" x14ac:dyDescent="0.25">
      <c r="A3" t="s">
        <v>26</v>
      </c>
      <c r="B3" s="3">
        <v>143</v>
      </c>
      <c r="C3" s="3">
        <f>C2*$B$3</f>
        <v>2288</v>
      </c>
      <c r="D3" s="3">
        <f>D2*$C$3</f>
        <v>343200</v>
      </c>
      <c r="E3" s="3">
        <f>E2*$C$3</f>
        <v>267696</v>
      </c>
      <c r="F3" s="3">
        <f>F2*$C$3</f>
        <v>34320</v>
      </c>
      <c r="G3" s="3">
        <f>G2*$C$3</f>
        <v>67953.599999999991</v>
      </c>
      <c r="H3" s="3">
        <f>H2*$C$3</f>
        <v>175032</v>
      </c>
    </row>
    <row r="5" spans="1:8" x14ac:dyDescent="0.25">
      <c r="D5">
        <v>1</v>
      </c>
      <c r="E5">
        <f>$D5/$D2*E2</f>
        <v>0.78</v>
      </c>
      <c r="F5">
        <f>$D5/$D2*F2</f>
        <v>0.1</v>
      </c>
      <c r="G5">
        <f>$D5/$D2*G2</f>
        <v>0.19800000000000001</v>
      </c>
      <c r="H5">
        <f>$D5/$D2*H2</f>
        <v>0.51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15" sqref="C15"/>
    </sheetView>
  </sheetViews>
  <sheetFormatPr baseColWidth="10" defaultRowHeight="15" x14ac:dyDescent="0.25"/>
  <cols>
    <col min="1" max="1" width="44.42578125" customWidth="1"/>
    <col min="2" max="9" width="21.85546875" customWidth="1"/>
    <col min="10" max="10" width="12.5703125" customWidth="1"/>
    <col min="11" max="12" width="17.5703125" bestFit="1" customWidth="1"/>
    <col min="13" max="13" width="12.5703125" bestFit="1" customWidth="1"/>
  </cols>
  <sheetData>
    <row r="1" spans="1:10" x14ac:dyDescent="0.25">
      <c r="A1" s="23" t="s">
        <v>51</v>
      </c>
      <c r="B1" s="24" t="s">
        <v>175</v>
      </c>
    </row>
    <row r="2" spans="1:10" x14ac:dyDescent="0.25">
      <c r="A2" s="23" t="s">
        <v>40</v>
      </c>
      <c r="B2" s="24" t="s">
        <v>175</v>
      </c>
    </row>
    <row r="4" spans="1:10" x14ac:dyDescent="0.25">
      <c r="A4" s="9"/>
      <c r="B4" s="6" t="s">
        <v>0</v>
      </c>
      <c r="C4" s="7"/>
      <c r="D4" s="7"/>
      <c r="E4" s="7"/>
      <c r="F4" s="7"/>
      <c r="G4" s="7"/>
      <c r="H4" s="7"/>
      <c r="I4" s="7"/>
      <c r="J4" s="8"/>
    </row>
    <row r="5" spans="1:10" x14ac:dyDescent="0.25">
      <c r="A5" s="6" t="s">
        <v>107</v>
      </c>
      <c r="B5" s="9" t="s">
        <v>67</v>
      </c>
      <c r="C5" s="10" t="s">
        <v>70</v>
      </c>
      <c r="D5" s="10" t="s">
        <v>83</v>
      </c>
      <c r="E5" s="10" t="s">
        <v>72</v>
      </c>
      <c r="F5" s="10" t="s">
        <v>39</v>
      </c>
      <c r="G5" s="10" t="s">
        <v>71</v>
      </c>
      <c r="H5" s="10" t="s">
        <v>38</v>
      </c>
      <c r="I5" s="10" t="s">
        <v>82</v>
      </c>
      <c r="J5" s="11" t="s">
        <v>141</v>
      </c>
    </row>
    <row r="6" spans="1:10" x14ac:dyDescent="0.25">
      <c r="A6" s="9" t="s">
        <v>166</v>
      </c>
      <c r="B6" s="41">
        <v>600</v>
      </c>
      <c r="C6" s="42">
        <v>300</v>
      </c>
      <c r="D6" s="42">
        <v>50</v>
      </c>
      <c r="E6" s="42">
        <v>650</v>
      </c>
      <c r="F6" s="42">
        <v>300</v>
      </c>
      <c r="G6" s="42">
        <v>200</v>
      </c>
      <c r="H6" s="42">
        <v>300</v>
      </c>
      <c r="I6" s="42">
        <v>880</v>
      </c>
      <c r="J6" s="43">
        <v>3280</v>
      </c>
    </row>
    <row r="7" spans="1:10" x14ac:dyDescent="0.25">
      <c r="A7" s="15" t="s">
        <v>174</v>
      </c>
      <c r="B7" s="44">
        <v>156.89999999999998</v>
      </c>
      <c r="C7" s="45">
        <v>52.8</v>
      </c>
      <c r="D7" s="45">
        <v>2.6249999999999996</v>
      </c>
      <c r="E7" s="45">
        <v>122.6875</v>
      </c>
      <c r="F7" s="45">
        <v>32.625</v>
      </c>
      <c r="G7" s="45">
        <v>21.75</v>
      </c>
      <c r="H7" s="45">
        <v>30</v>
      </c>
      <c r="I7" s="45">
        <v>46.199999999999989</v>
      </c>
      <c r="J7" s="46">
        <v>465.58749999999998</v>
      </c>
    </row>
    <row r="8" spans="1:10" x14ac:dyDescent="0.25">
      <c r="A8" s="15" t="s">
        <v>109</v>
      </c>
      <c r="B8" s="44">
        <v>442.65000000000003</v>
      </c>
      <c r="C8" s="45">
        <v>222.04499999999999</v>
      </c>
      <c r="D8" s="45">
        <v>2.8874999999999997</v>
      </c>
      <c r="E8" s="45">
        <v>0</v>
      </c>
      <c r="F8" s="45">
        <v>0</v>
      </c>
      <c r="G8" s="45">
        <v>0</v>
      </c>
      <c r="H8" s="45">
        <v>125.32499999999999</v>
      </c>
      <c r="I8" s="45">
        <v>50.819999999999993</v>
      </c>
      <c r="J8" s="46">
        <v>843.72749999999996</v>
      </c>
    </row>
    <row r="9" spans="1:10" x14ac:dyDescent="0.25">
      <c r="A9" s="15" t="s">
        <v>162</v>
      </c>
      <c r="B9" s="44">
        <v>540.64424999999994</v>
      </c>
      <c r="C9" s="45">
        <v>244.57096499999997</v>
      </c>
      <c r="D9" s="45">
        <v>5.1730874999999994</v>
      </c>
      <c r="E9" s="45">
        <v>126.12275000000001</v>
      </c>
      <c r="F9" s="45">
        <v>33.538499999999999</v>
      </c>
      <c r="G9" s="45">
        <v>22.359000000000002</v>
      </c>
      <c r="H9" s="45">
        <v>137.33335000000002</v>
      </c>
      <c r="I9" s="45">
        <v>91.046339999999987</v>
      </c>
      <c r="J9" s="46">
        <v>1200.7882424999998</v>
      </c>
    </row>
    <row r="10" spans="1:10" x14ac:dyDescent="0.25">
      <c r="A10" s="27" t="s">
        <v>163</v>
      </c>
      <c r="B10" s="50">
        <v>185.35575000000003</v>
      </c>
      <c r="C10" s="51">
        <v>118.429035</v>
      </c>
      <c r="D10" s="51">
        <v>55.326912500000006</v>
      </c>
      <c r="E10" s="51">
        <v>627.87725</v>
      </c>
      <c r="F10" s="51">
        <v>389.76149999999996</v>
      </c>
      <c r="G10" s="51">
        <v>259.84100000000001</v>
      </c>
      <c r="H10" s="51">
        <v>225.66664999999995</v>
      </c>
      <c r="I10" s="51">
        <v>973.75366000000008</v>
      </c>
      <c r="J10" s="52">
        <v>2836.0117574999999</v>
      </c>
    </row>
    <row r="19" spans="1:10" x14ac:dyDescent="0.25">
      <c r="A19" s="23" t="s">
        <v>40</v>
      </c>
      <c r="B19" s="24" t="s">
        <v>175</v>
      </c>
    </row>
    <row r="20" spans="1:10" x14ac:dyDescent="0.25">
      <c r="A20" s="23" t="s">
        <v>27</v>
      </c>
      <c r="B20" s="24" t="s">
        <v>175</v>
      </c>
    </row>
    <row r="21" spans="1:10" x14ac:dyDescent="0.25">
      <c r="A21" s="23" t="s">
        <v>51</v>
      </c>
      <c r="B21" s="49">
        <v>2022</v>
      </c>
    </row>
    <row r="23" spans="1:10" x14ac:dyDescent="0.25">
      <c r="A23" s="9"/>
      <c r="B23" s="6" t="s">
        <v>0</v>
      </c>
      <c r="C23" s="7"/>
      <c r="D23" s="7"/>
      <c r="E23" s="7"/>
      <c r="F23" s="7"/>
      <c r="G23" s="7"/>
      <c r="H23" s="7"/>
      <c r="I23" s="8"/>
    </row>
    <row r="24" spans="1:10" x14ac:dyDescent="0.25">
      <c r="A24" s="6" t="s">
        <v>107</v>
      </c>
      <c r="B24" s="9" t="s">
        <v>68</v>
      </c>
      <c r="C24" s="10" t="s">
        <v>67</v>
      </c>
      <c r="D24" s="10" t="s">
        <v>70</v>
      </c>
      <c r="E24" s="10" t="s">
        <v>37</v>
      </c>
      <c r="F24" s="10" t="s">
        <v>39</v>
      </c>
      <c r="G24" s="10" t="s">
        <v>71</v>
      </c>
      <c r="H24" s="10" t="s">
        <v>38</v>
      </c>
      <c r="I24" s="11" t="s">
        <v>141</v>
      </c>
    </row>
    <row r="25" spans="1:10" x14ac:dyDescent="0.25">
      <c r="A25" s="9" t="s">
        <v>84</v>
      </c>
      <c r="B25" s="41">
        <v>1011</v>
      </c>
      <c r="C25" s="42">
        <v>2345</v>
      </c>
      <c r="D25" s="42">
        <v>500</v>
      </c>
      <c r="E25" s="42">
        <v>2000</v>
      </c>
      <c r="F25" s="42">
        <v>150</v>
      </c>
      <c r="G25" s="42">
        <v>200</v>
      </c>
      <c r="H25" s="42">
        <v>1100</v>
      </c>
      <c r="I25" s="43">
        <v>7306</v>
      </c>
    </row>
    <row r="26" spans="1:10" x14ac:dyDescent="0.25">
      <c r="A26" s="15" t="s">
        <v>168</v>
      </c>
      <c r="B26" s="44">
        <v>64.703999999999979</v>
      </c>
      <c r="C26" s="45">
        <v>123.11249999999998</v>
      </c>
      <c r="D26" s="45">
        <v>26.249999999999996</v>
      </c>
      <c r="E26" s="45">
        <v>104.99999999999999</v>
      </c>
      <c r="F26" s="45">
        <v>7.875</v>
      </c>
      <c r="G26" s="45">
        <v>10.5</v>
      </c>
      <c r="H26" s="45">
        <v>57.749999999999993</v>
      </c>
      <c r="I26" s="46">
        <v>395.19149999999996</v>
      </c>
    </row>
    <row r="27" spans="1:10" x14ac:dyDescent="0.25">
      <c r="A27" s="15" t="s">
        <v>169</v>
      </c>
      <c r="B27" s="44">
        <v>0</v>
      </c>
      <c r="C27" s="45">
        <v>135.42374999999998</v>
      </c>
      <c r="D27" s="45">
        <v>28.874999999999996</v>
      </c>
      <c r="E27" s="45">
        <v>115.49999999999999</v>
      </c>
      <c r="F27" s="45">
        <v>0</v>
      </c>
      <c r="G27" s="45">
        <v>0</v>
      </c>
      <c r="H27" s="45">
        <v>63.524999999999999</v>
      </c>
      <c r="I27" s="46">
        <v>343.32374999999996</v>
      </c>
    </row>
    <row r="28" spans="1:10" x14ac:dyDescent="0.25">
      <c r="A28" s="27" t="s">
        <v>177</v>
      </c>
      <c r="B28" s="50">
        <v>66.515711999999979</v>
      </c>
      <c r="C28" s="51">
        <v>242.61780374999998</v>
      </c>
      <c r="D28" s="51">
        <v>51.730874999999997</v>
      </c>
      <c r="E28" s="51">
        <v>206.92349999999999</v>
      </c>
      <c r="F28" s="51">
        <v>8.0954999999999995</v>
      </c>
      <c r="G28" s="51">
        <v>10.794</v>
      </c>
      <c r="H28" s="51">
        <v>113.807925</v>
      </c>
      <c r="I28" s="52">
        <v>700.48531574999993</v>
      </c>
    </row>
    <row r="30" spans="1:10" ht="6.75" customHeight="1" x14ac:dyDescent="0.25"/>
    <row r="31" spans="1:10" ht="7.5" customHeight="1" x14ac:dyDescent="0.25"/>
    <row r="32" spans="1:10" x14ac:dyDescent="0.25">
      <c r="B32">
        <v>2016</v>
      </c>
      <c r="C32">
        <v>2017</v>
      </c>
      <c r="D32">
        <v>2018</v>
      </c>
      <c r="E32">
        <v>2019</v>
      </c>
      <c r="F32">
        <v>2020</v>
      </c>
      <c r="G32">
        <v>2021</v>
      </c>
      <c r="H32">
        <v>2022</v>
      </c>
      <c r="I32">
        <v>2023</v>
      </c>
      <c r="J32">
        <v>2024</v>
      </c>
    </row>
    <row r="33" spans="1:10" x14ac:dyDescent="0.25">
      <c r="A33" t="s">
        <v>185</v>
      </c>
      <c r="B33">
        <v>605</v>
      </c>
      <c r="C33">
        <v>605</v>
      </c>
      <c r="D33">
        <v>968</v>
      </c>
      <c r="E33">
        <v>1016</v>
      </c>
      <c r="F33">
        <v>1029</v>
      </c>
      <c r="G33">
        <v>1029</v>
      </c>
      <c r="H33">
        <v>1029</v>
      </c>
      <c r="I33">
        <v>1029</v>
      </c>
      <c r="J33">
        <v>1029</v>
      </c>
    </row>
    <row r="34" spans="1:10" x14ac:dyDescent="0.25">
      <c r="A34" t="s">
        <v>178</v>
      </c>
      <c r="B34">
        <v>53</v>
      </c>
      <c r="C34">
        <v>53</v>
      </c>
      <c r="D34">
        <v>85</v>
      </c>
      <c r="E34">
        <v>89</v>
      </c>
      <c r="F34">
        <v>90</v>
      </c>
      <c r="G34">
        <v>90</v>
      </c>
      <c r="H34">
        <v>90</v>
      </c>
      <c r="I34">
        <v>90</v>
      </c>
      <c r="J34">
        <v>90</v>
      </c>
    </row>
    <row r="35" spans="1:10" x14ac:dyDescent="0.25">
      <c r="A35" t="s">
        <v>179</v>
      </c>
      <c r="B35">
        <v>406</v>
      </c>
      <c r="C35">
        <v>480</v>
      </c>
      <c r="D35">
        <v>512</v>
      </c>
      <c r="E35">
        <v>668</v>
      </c>
      <c r="F35">
        <v>701</v>
      </c>
      <c r="G35">
        <v>701</v>
      </c>
      <c r="H35">
        <v>701</v>
      </c>
      <c r="I35">
        <v>701</v>
      </c>
      <c r="J35">
        <v>701</v>
      </c>
    </row>
    <row r="36" spans="1:10" x14ac:dyDescent="0.25">
      <c r="A36" t="s">
        <v>180</v>
      </c>
      <c r="B36">
        <f t="shared" ref="B36:J36" si="0">B35+B34</f>
        <v>459</v>
      </c>
      <c r="C36">
        <f t="shared" si="0"/>
        <v>533</v>
      </c>
      <c r="D36">
        <f t="shared" si="0"/>
        <v>597</v>
      </c>
      <c r="E36">
        <f t="shared" si="0"/>
        <v>757</v>
      </c>
      <c r="F36">
        <f t="shared" si="0"/>
        <v>791</v>
      </c>
      <c r="G36">
        <f t="shared" si="0"/>
        <v>791</v>
      </c>
      <c r="H36">
        <f t="shared" si="0"/>
        <v>791</v>
      </c>
      <c r="I36">
        <f t="shared" si="0"/>
        <v>791</v>
      </c>
      <c r="J36">
        <f t="shared" si="0"/>
        <v>791</v>
      </c>
    </row>
    <row r="37" spans="1:10" x14ac:dyDescent="0.25">
      <c r="A37" t="s">
        <v>181</v>
      </c>
      <c r="B37">
        <f t="shared" ref="B37:J37" si="1">B33-B36</f>
        <v>146</v>
      </c>
      <c r="C37">
        <f t="shared" si="1"/>
        <v>72</v>
      </c>
      <c r="D37">
        <f t="shared" si="1"/>
        <v>371</v>
      </c>
      <c r="E37">
        <f t="shared" si="1"/>
        <v>259</v>
      </c>
      <c r="F37">
        <f t="shared" si="1"/>
        <v>238</v>
      </c>
      <c r="G37">
        <f t="shared" si="1"/>
        <v>238</v>
      </c>
      <c r="H37">
        <f t="shared" si="1"/>
        <v>238</v>
      </c>
      <c r="I37">
        <f t="shared" si="1"/>
        <v>238</v>
      </c>
      <c r="J37">
        <f t="shared" si="1"/>
        <v>238</v>
      </c>
    </row>
    <row r="38" spans="1:10" x14ac:dyDescent="0.25">
      <c r="A38" t="s">
        <v>182</v>
      </c>
      <c r="B38">
        <f t="shared" ref="B38:J38" si="2">B36*15.5</f>
        <v>7114.5</v>
      </c>
      <c r="C38">
        <f t="shared" si="2"/>
        <v>8261.5</v>
      </c>
      <c r="D38">
        <f t="shared" si="2"/>
        <v>9253.5</v>
      </c>
      <c r="E38">
        <f t="shared" si="2"/>
        <v>11733.5</v>
      </c>
      <c r="F38">
        <f t="shared" si="2"/>
        <v>12260.5</v>
      </c>
      <c r="G38">
        <f t="shared" si="2"/>
        <v>12260.5</v>
      </c>
      <c r="H38">
        <f t="shared" si="2"/>
        <v>12260.5</v>
      </c>
      <c r="I38">
        <f t="shared" si="2"/>
        <v>12260.5</v>
      </c>
      <c r="J38">
        <f t="shared" si="2"/>
        <v>12260.5</v>
      </c>
    </row>
    <row r="39" spans="1:10" x14ac:dyDescent="0.25">
      <c r="A39" t="s">
        <v>183</v>
      </c>
      <c r="B39">
        <f t="shared" ref="B39:J39" si="3">B37*25</f>
        <v>3650</v>
      </c>
      <c r="C39">
        <f t="shared" si="3"/>
        <v>1800</v>
      </c>
      <c r="D39">
        <f t="shared" si="3"/>
        <v>9275</v>
      </c>
      <c r="E39">
        <f t="shared" si="3"/>
        <v>6475</v>
      </c>
      <c r="F39">
        <f t="shared" si="3"/>
        <v>5950</v>
      </c>
      <c r="G39">
        <f t="shared" si="3"/>
        <v>5950</v>
      </c>
      <c r="H39">
        <f t="shared" si="3"/>
        <v>5950</v>
      </c>
      <c r="I39">
        <f t="shared" si="3"/>
        <v>5950</v>
      </c>
      <c r="J39">
        <f t="shared" si="3"/>
        <v>5950</v>
      </c>
    </row>
    <row r="40" spans="1:10" x14ac:dyDescent="0.25">
      <c r="A40" t="s">
        <v>184</v>
      </c>
      <c r="B40">
        <f t="shared" ref="B40:J40" si="4">(B39+B38)/B33</f>
        <v>17.792561983471074</v>
      </c>
      <c r="C40">
        <f t="shared" si="4"/>
        <v>16.630578512396696</v>
      </c>
      <c r="D40">
        <f t="shared" si="4"/>
        <v>19.141012396694215</v>
      </c>
      <c r="E40">
        <f t="shared" si="4"/>
        <v>17.921751968503937</v>
      </c>
      <c r="F40">
        <f t="shared" si="4"/>
        <v>17.697278911564627</v>
      </c>
      <c r="G40">
        <f t="shared" si="4"/>
        <v>17.697278911564627</v>
      </c>
      <c r="H40">
        <f t="shared" si="4"/>
        <v>17.697278911564627</v>
      </c>
      <c r="I40">
        <f t="shared" si="4"/>
        <v>17.697278911564627</v>
      </c>
      <c r="J40">
        <f t="shared" si="4"/>
        <v>17.697278911564627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24" sqref="C24"/>
    </sheetView>
  </sheetViews>
  <sheetFormatPr baseColWidth="10" defaultRowHeight="15" x14ac:dyDescent="0.25"/>
  <cols>
    <col min="1" max="1" width="20.28515625" customWidth="1"/>
    <col min="2" max="2" width="14.140625" customWidth="1"/>
    <col min="5" max="5" width="17" customWidth="1"/>
  </cols>
  <sheetData>
    <row r="1" spans="1:3" ht="15.75" thickBot="1" x14ac:dyDescent="0.3"/>
    <row r="2" spans="1:3" x14ac:dyDescent="0.25">
      <c r="A2" s="28" t="s">
        <v>115</v>
      </c>
      <c r="B2" s="29"/>
      <c r="C2" s="30"/>
    </row>
    <row r="3" spans="1:3" x14ac:dyDescent="0.25">
      <c r="A3" s="31"/>
      <c r="B3" s="54" t="s">
        <v>119</v>
      </c>
      <c r="C3" s="55"/>
    </row>
    <row r="4" spans="1:3" x14ac:dyDescent="0.25">
      <c r="A4" s="31"/>
      <c r="B4" s="32" t="s">
        <v>116</v>
      </c>
      <c r="C4" s="33" t="s">
        <v>25</v>
      </c>
    </row>
    <row r="5" spans="1:3" x14ac:dyDescent="0.25">
      <c r="A5" s="31" t="s">
        <v>13</v>
      </c>
      <c r="B5" s="34">
        <v>1</v>
      </c>
      <c r="C5" s="35">
        <v>0.5</v>
      </c>
    </row>
    <row r="6" spans="1:3" x14ac:dyDescent="0.25">
      <c r="A6" s="31" t="s">
        <v>122</v>
      </c>
      <c r="B6" s="34">
        <v>0.9</v>
      </c>
      <c r="C6" s="35">
        <v>0</v>
      </c>
    </row>
    <row r="7" spans="1:3" x14ac:dyDescent="0.25">
      <c r="A7" s="31" t="s">
        <v>117</v>
      </c>
      <c r="B7" s="34">
        <v>0.95</v>
      </c>
      <c r="C7" s="35">
        <v>0</v>
      </c>
    </row>
    <row r="8" spans="1:3" x14ac:dyDescent="0.25">
      <c r="A8" s="31" t="s">
        <v>127</v>
      </c>
      <c r="B8" s="34">
        <v>0.9</v>
      </c>
      <c r="C8" s="35">
        <v>0</v>
      </c>
    </row>
    <row r="9" spans="1:3" x14ac:dyDescent="0.25">
      <c r="A9" s="31" t="s">
        <v>118</v>
      </c>
      <c r="B9" s="34">
        <v>0.95</v>
      </c>
      <c r="C9" s="35">
        <v>0.9</v>
      </c>
    </row>
    <row r="10" spans="1:3" x14ac:dyDescent="0.25">
      <c r="A10" s="31" t="s">
        <v>15</v>
      </c>
      <c r="B10" s="34">
        <v>1</v>
      </c>
      <c r="C10" s="35">
        <v>1</v>
      </c>
    </row>
    <row r="11" spans="1:3" ht="15.75" thickBot="1" x14ac:dyDescent="0.3">
      <c r="A11" s="36" t="s">
        <v>121</v>
      </c>
      <c r="B11" s="37">
        <v>0</v>
      </c>
      <c r="C11" s="38">
        <v>0</v>
      </c>
    </row>
    <row r="15" spans="1:3" x14ac:dyDescent="0.25">
      <c r="B15" t="s">
        <v>128</v>
      </c>
    </row>
    <row r="16" spans="1:3" ht="75" x14ac:dyDescent="0.25">
      <c r="B16" s="1" t="s">
        <v>129</v>
      </c>
      <c r="C16" s="1" t="s">
        <v>130</v>
      </c>
    </row>
    <row r="17" spans="1:3" x14ac:dyDescent="0.25">
      <c r="A17" t="s">
        <v>131</v>
      </c>
      <c r="B17">
        <v>1.0580000000000001</v>
      </c>
      <c r="C17">
        <v>0.88200000000000001</v>
      </c>
    </row>
    <row r="18" spans="1:3" x14ac:dyDescent="0.25">
      <c r="A18" t="s">
        <v>132</v>
      </c>
      <c r="B18">
        <v>1.028</v>
      </c>
      <c r="C18">
        <v>0.85699999999999998</v>
      </c>
    </row>
    <row r="19" spans="1:3" x14ac:dyDescent="0.25">
      <c r="A19" t="s">
        <v>137</v>
      </c>
      <c r="B19">
        <v>1.008</v>
      </c>
      <c r="C19">
        <v>0.84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21"/>
  <sheetViews>
    <sheetView topLeftCell="D1" workbookViewId="0">
      <pane xSplit="6390" topLeftCell="J1" activePane="topRight"/>
      <selection activeCell="A3" sqref="A3:IV3"/>
      <selection pane="topRight" activeCell="P4" sqref="P4"/>
    </sheetView>
  </sheetViews>
  <sheetFormatPr baseColWidth="10" defaultRowHeight="15" x14ac:dyDescent="0.25"/>
  <cols>
    <col min="1" max="1" width="11.7109375" customWidth="1"/>
    <col min="2" max="2" width="7.5703125" customWidth="1"/>
    <col min="3" max="3" width="7.28515625" customWidth="1"/>
    <col min="4" max="4" width="19.5703125" customWidth="1"/>
    <col min="5" max="5" width="37.5703125" customWidth="1"/>
    <col min="6" max="6" width="11.140625" customWidth="1"/>
    <col min="7" max="7" width="7.5703125" customWidth="1"/>
    <col min="8" max="8" width="11" customWidth="1"/>
    <col min="9" max="9" width="11.140625" customWidth="1"/>
    <col min="10" max="10" width="10" customWidth="1"/>
    <col min="11" max="11" width="10.85546875" customWidth="1"/>
    <col min="12" max="12" width="10.42578125" customWidth="1"/>
    <col min="22" max="22" width="16.140625" customWidth="1"/>
    <col min="23" max="23" width="9.42578125" customWidth="1"/>
    <col min="24" max="24" width="9.5703125" customWidth="1"/>
    <col min="25" max="25" width="10.28515625" customWidth="1"/>
    <col min="26" max="28" width="11.42578125" customWidth="1"/>
  </cols>
  <sheetData>
    <row r="1" spans="1:28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</row>
    <row r="2" spans="1:28" x14ac:dyDescent="0.25">
      <c r="L2" s="56" t="s">
        <v>13</v>
      </c>
      <c r="M2" s="56"/>
      <c r="N2" s="56"/>
      <c r="O2" s="56" t="s">
        <v>120</v>
      </c>
      <c r="P2" s="56"/>
      <c r="Q2" s="56"/>
      <c r="R2" s="56" t="s">
        <v>15</v>
      </c>
      <c r="S2" s="56"/>
      <c r="T2" s="56"/>
      <c r="U2" s="25"/>
      <c r="V2" t="s">
        <v>123</v>
      </c>
      <c r="X2" t="s">
        <v>124</v>
      </c>
    </row>
    <row r="3" spans="1:28" ht="75" x14ac:dyDescent="0.25">
      <c r="A3" t="s">
        <v>17</v>
      </c>
      <c r="B3" s="1" t="s">
        <v>40</v>
      </c>
      <c r="C3" s="1" t="s">
        <v>41</v>
      </c>
      <c r="D3" s="1" t="s">
        <v>0</v>
      </c>
      <c r="E3" s="1" t="s">
        <v>1</v>
      </c>
      <c r="F3" s="1" t="s">
        <v>101</v>
      </c>
      <c r="G3" s="1" t="s">
        <v>27</v>
      </c>
      <c r="H3" s="1" t="s">
        <v>18</v>
      </c>
      <c r="I3" s="2" t="s">
        <v>34</v>
      </c>
      <c r="J3" s="1" t="s">
        <v>2</v>
      </c>
      <c r="K3" s="1" t="s">
        <v>3</v>
      </c>
      <c r="L3" s="1" t="s">
        <v>6</v>
      </c>
      <c r="M3" s="1" t="s">
        <v>4</v>
      </c>
      <c r="N3" s="1" t="s">
        <v>5</v>
      </c>
      <c r="O3" s="1" t="s">
        <v>7</v>
      </c>
      <c r="P3" s="1" t="s">
        <v>9</v>
      </c>
      <c r="Q3" s="1" t="s">
        <v>8</v>
      </c>
      <c r="R3" s="1" t="s">
        <v>10</v>
      </c>
      <c r="S3" s="1" t="s">
        <v>11</v>
      </c>
      <c r="T3" s="1" t="s">
        <v>12</v>
      </c>
      <c r="U3" s="1" t="s">
        <v>133</v>
      </c>
      <c r="V3" s="1" t="s">
        <v>120</v>
      </c>
      <c r="W3" s="1" t="s">
        <v>15</v>
      </c>
      <c r="X3" s="1" t="s">
        <v>126</v>
      </c>
      <c r="Y3" s="1" t="s">
        <v>125</v>
      </c>
      <c r="Z3" s="1" t="s">
        <v>138</v>
      </c>
      <c r="AA3" s="1" t="s">
        <v>139</v>
      </c>
      <c r="AB3" s="1" t="s">
        <v>161</v>
      </c>
    </row>
    <row r="4" spans="1:28" x14ac:dyDescent="0.25">
      <c r="A4" t="str">
        <f>CONCATENATE(B4,"-",C4)</f>
        <v>UKTMP-01</v>
      </c>
      <c r="B4" t="s">
        <v>16</v>
      </c>
      <c r="C4" s="4" t="s">
        <v>42</v>
      </c>
      <c r="D4" t="s">
        <v>67</v>
      </c>
      <c r="E4" t="s">
        <v>28</v>
      </c>
      <c r="F4" t="s">
        <v>102</v>
      </c>
      <c r="G4">
        <v>5</v>
      </c>
      <c r="H4">
        <v>1</v>
      </c>
      <c r="I4">
        <v>1.21</v>
      </c>
      <c r="J4">
        <v>1</v>
      </c>
      <c r="K4">
        <f t="shared" ref="K4:K21" si="0">J4*I4</f>
        <v>1.21</v>
      </c>
      <c r="L4">
        <f>(K4-J4)*0.25</f>
        <v>5.2499999999999991E-2</v>
      </c>
      <c r="M4">
        <f>(K4-J4)*0.55</f>
        <v>0.11549999999999999</v>
      </c>
      <c r="N4" t="s">
        <v>143</v>
      </c>
      <c r="O4">
        <f>0.13*J4</f>
        <v>0.13</v>
      </c>
      <c r="P4">
        <f>0.036*J4</f>
        <v>3.5999999999999997E-2</v>
      </c>
      <c r="Q4" t="s">
        <v>143</v>
      </c>
      <c r="R4">
        <v>0</v>
      </c>
      <c r="S4">
        <f>0.78*J4*5/6</f>
        <v>0.65</v>
      </c>
      <c r="T4" t="s">
        <v>143</v>
      </c>
      <c r="U4" t="s">
        <v>132</v>
      </c>
      <c r="V4" t="s">
        <v>118</v>
      </c>
      <c r="W4" t="s">
        <v>121</v>
      </c>
      <c r="X4">
        <f t="shared" ref="X4:X21" si="1">VLOOKUP("UKAD",recupchute,2,FALSE)*L4+VLOOKUP(V4,recupchute,2,FALSE)*O4+VLOOKUP(W4,recupchute,2,FALSE)*R4</f>
        <v>0.17599999999999999</v>
      </c>
      <c r="Y4">
        <f t="shared" ref="Y4:Y21" si="2">VLOOKUP("UKAD",recupchute,3,FALSE)*M4+VLOOKUP(V4,recupchute,3,FALSE)*P4+VLOOKUP(W4,recupchute,3,FALSE)*S4</f>
        <v>9.0149999999999994E-2</v>
      </c>
      <c r="Z4">
        <f t="shared" ref="Z4:Z21" si="3">(VLOOKUP(U4,convchutes,2,FALSE)*X4+VLOOKUP(U4,convchutes,3,FALSE)*Y4)</f>
        <v>0.25818655000000001</v>
      </c>
      <c r="AA4">
        <f>I4-Z4</f>
        <v>0.95181344999999995</v>
      </c>
      <c r="AB4" t="s">
        <v>121</v>
      </c>
    </row>
    <row r="5" spans="1:28" x14ac:dyDescent="0.25">
      <c r="A5" t="str">
        <f t="shared" ref="A5:A21" si="4">CONCATENATE(B5,"-",C5)</f>
        <v>UKTMP-02</v>
      </c>
      <c r="B5" t="s">
        <v>16</v>
      </c>
      <c r="C5" s="4" t="s">
        <v>43</v>
      </c>
      <c r="D5" t="s">
        <v>68</v>
      </c>
      <c r="E5" t="s">
        <v>100</v>
      </c>
      <c r="G5">
        <v>5</v>
      </c>
      <c r="H5">
        <v>1</v>
      </c>
      <c r="I5">
        <v>1.1599999999999999</v>
      </c>
      <c r="J5">
        <v>1</v>
      </c>
      <c r="K5">
        <f t="shared" si="0"/>
        <v>1.1599999999999999</v>
      </c>
      <c r="L5">
        <f>0.4*(K5-J5)</f>
        <v>6.3999999999999974E-2</v>
      </c>
      <c r="M5">
        <v>0</v>
      </c>
      <c r="N5" t="s">
        <v>143</v>
      </c>
      <c r="Q5" t="s">
        <v>143</v>
      </c>
      <c r="T5" t="s">
        <v>143</v>
      </c>
      <c r="U5" t="s">
        <v>132</v>
      </c>
      <c r="V5" t="s">
        <v>121</v>
      </c>
      <c r="W5" t="s">
        <v>121</v>
      </c>
      <c r="X5">
        <f t="shared" si="1"/>
        <v>6.3999999999999974E-2</v>
      </c>
      <c r="Y5">
        <f t="shared" si="2"/>
        <v>0</v>
      </c>
      <c r="Z5">
        <f t="shared" si="3"/>
        <v>6.5791999999999976E-2</v>
      </c>
      <c r="AA5">
        <f t="shared" ref="AA5:AA21" si="5">I5-Z5</f>
        <v>1.0942079999999998</v>
      </c>
      <c r="AB5" t="s">
        <v>121</v>
      </c>
    </row>
    <row r="6" spans="1:28" x14ac:dyDescent="0.25">
      <c r="A6" t="str">
        <f t="shared" si="4"/>
        <v>UKTMP-03</v>
      </c>
      <c r="B6" t="s">
        <v>16</v>
      </c>
      <c r="C6" s="4" t="s">
        <v>44</v>
      </c>
      <c r="D6" t="s">
        <v>37</v>
      </c>
      <c r="E6" t="s">
        <v>88</v>
      </c>
      <c r="G6">
        <v>5</v>
      </c>
      <c r="H6">
        <v>1</v>
      </c>
      <c r="I6">
        <v>1.21</v>
      </c>
      <c r="J6">
        <v>1</v>
      </c>
      <c r="K6">
        <f t="shared" si="0"/>
        <v>1.21</v>
      </c>
      <c r="L6">
        <f>(K6-J6)*0.25</f>
        <v>5.2499999999999991E-2</v>
      </c>
      <c r="M6">
        <f>(K6-J6)*0.55</f>
        <v>0.11549999999999999</v>
      </c>
      <c r="N6" t="s">
        <v>143</v>
      </c>
      <c r="Q6" t="s">
        <v>143</v>
      </c>
      <c r="T6" t="s">
        <v>143</v>
      </c>
      <c r="U6" t="s">
        <v>132</v>
      </c>
      <c r="V6" t="s">
        <v>121</v>
      </c>
      <c r="W6" t="s">
        <v>121</v>
      </c>
      <c r="X6">
        <f t="shared" si="1"/>
        <v>5.2499999999999991E-2</v>
      </c>
      <c r="Y6">
        <f t="shared" si="2"/>
        <v>5.7749999999999996E-2</v>
      </c>
      <c r="Z6">
        <f t="shared" si="3"/>
        <v>0.10346174999999999</v>
      </c>
      <c r="AA6">
        <f t="shared" si="5"/>
        <v>1.1065382500000001</v>
      </c>
      <c r="AB6" t="s">
        <v>121</v>
      </c>
    </row>
    <row r="7" spans="1:28" x14ac:dyDescent="0.25">
      <c r="A7" t="str">
        <f t="shared" si="4"/>
        <v>UKTMP-04</v>
      </c>
      <c r="B7" t="s">
        <v>16</v>
      </c>
      <c r="C7" s="4" t="s">
        <v>45</v>
      </c>
      <c r="D7" t="s">
        <v>70</v>
      </c>
      <c r="E7" t="s">
        <v>89</v>
      </c>
      <c r="G7">
        <v>5</v>
      </c>
      <c r="H7">
        <v>1</v>
      </c>
      <c r="I7">
        <v>1.21</v>
      </c>
      <c r="J7">
        <v>1</v>
      </c>
      <c r="K7">
        <f t="shared" si="0"/>
        <v>1.21</v>
      </c>
      <c r="L7">
        <f>(K7-J7)*0.25</f>
        <v>5.2499999999999991E-2</v>
      </c>
      <c r="M7">
        <f>(K7-J7)*0.55</f>
        <v>0.11549999999999999</v>
      </c>
      <c r="N7" t="s">
        <v>143</v>
      </c>
      <c r="Q7" t="s">
        <v>143</v>
      </c>
      <c r="T7" t="s">
        <v>143</v>
      </c>
      <c r="U7" t="s">
        <v>132</v>
      </c>
      <c r="V7" t="s">
        <v>121</v>
      </c>
      <c r="W7" t="s">
        <v>121</v>
      </c>
      <c r="X7">
        <f t="shared" si="1"/>
        <v>5.2499999999999991E-2</v>
      </c>
      <c r="Y7">
        <f t="shared" si="2"/>
        <v>5.7749999999999996E-2</v>
      </c>
      <c r="Z7">
        <f t="shared" si="3"/>
        <v>0.10346174999999999</v>
      </c>
      <c r="AA7">
        <f t="shared" si="5"/>
        <v>1.1065382500000001</v>
      </c>
      <c r="AB7" t="s">
        <v>121</v>
      </c>
    </row>
    <row r="8" spans="1:28" x14ac:dyDescent="0.25">
      <c r="A8" t="str">
        <f t="shared" si="4"/>
        <v>UKTMP-05</v>
      </c>
      <c r="B8" t="s">
        <v>16</v>
      </c>
      <c r="C8" s="4" t="s">
        <v>46</v>
      </c>
      <c r="D8" t="s">
        <v>38</v>
      </c>
      <c r="E8" t="s">
        <v>90</v>
      </c>
      <c r="G8">
        <v>5</v>
      </c>
      <c r="H8">
        <v>1</v>
      </c>
      <c r="I8">
        <v>1.21</v>
      </c>
      <c r="J8">
        <v>1</v>
      </c>
      <c r="K8">
        <f t="shared" si="0"/>
        <v>1.21</v>
      </c>
      <c r="L8">
        <f>(K8-J8)*0.25</f>
        <v>5.2499999999999991E-2</v>
      </c>
      <c r="M8">
        <f>(K8-J8)*0.55</f>
        <v>0.11549999999999999</v>
      </c>
      <c r="N8" t="s">
        <v>143</v>
      </c>
      <c r="Q8" t="s">
        <v>143</v>
      </c>
      <c r="T8" t="s">
        <v>143</v>
      </c>
      <c r="U8" t="s">
        <v>132</v>
      </c>
      <c r="V8" t="s">
        <v>121</v>
      </c>
      <c r="W8" t="s">
        <v>121</v>
      </c>
      <c r="X8">
        <f t="shared" si="1"/>
        <v>5.2499999999999991E-2</v>
      </c>
      <c r="Y8">
        <f t="shared" si="2"/>
        <v>5.7749999999999996E-2</v>
      </c>
      <c r="Z8">
        <f t="shared" si="3"/>
        <v>0.10346174999999999</v>
      </c>
      <c r="AA8">
        <f t="shared" si="5"/>
        <v>1.1065382500000001</v>
      </c>
      <c r="AB8" t="s">
        <v>121</v>
      </c>
    </row>
    <row r="9" spans="1:28" x14ac:dyDescent="0.25">
      <c r="A9" t="str">
        <f t="shared" si="4"/>
        <v>UKTMP-06</v>
      </c>
      <c r="B9" t="s">
        <v>16</v>
      </c>
      <c r="C9" s="4" t="s">
        <v>47</v>
      </c>
      <c r="D9" t="s">
        <v>71</v>
      </c>
      <c r="E9" t="s">
        <v>91</v>
      </c>
      <c r="F9" t="s">
        <v>103</v>
      </c>
      <c r="G9">
        <v>5</v>
      </c>
      <c r="H9">
        <v>1</v>
      </c>
      <c r="I9">
        <v>1.411</v>
      </c>
      <c r="J9">
        <v>1</v>
      </c>
      <c r="K9">
        <f t="shared" si="0"/>
        <v>1.411</v>
      </c>
      <c r="L9">
        <v>5.2499999999999998E-2</v>
      </c>
      <c r="N9" t="s">
        <v>143</v>
      </c>
      <c r="O9">
        <v>6.25E-2</v>
      </c>
      <c r="P9">
        <v>0.218</v>
      </c>
      <c r="Q9" t="s">
        <v>143</v>
      </c>
      <c r="T9" t="s">
        <v>143</v>
      </c>
      <c r="U9" t="s">
        <v>132</v>
      </c>
      <c r="V9" t="s">
        <v>122</v>
      </c>
      <c r="W9" t="s">
        <v>121</v>
      </c>
      <c r="X9">
        <f t="shared" si="1"/>
        <v>0.10875</v>
      </c>
      <c r="Y9">
        <f t="shared" si="2"/>
        <v>0</v>
      </c>
      <c r="Z9">
        <f t="shared" si="3"/>
        <v>0.11179500000000001</v>
      </c>
      <c r="AA9">
        <f t="shared" si="5"/>
        <v>1.2992049999999999</v>
      </c>
      <c r="AB9" t="s">
        <v>121</v>
      </c>
    </row>
    <row r="10" spans="1:28" x14ac:dyDescent="0.25">
      <c r="A10" t="str">
        <f t="shared" si="4"/>
        <v>UKTMP-07</v>
      </c>
      <c r="B10" t="s">
        <v>16</v>
      </c>
      <c r="C10" s="4" t="s">
        <v>48</v>
      </c>
      <c r="D10" t="s">
        <v>39</v>
      </c>
      <c r="E10" t="s">
        <v>86</v>
      </c>
      <c r="F10" t="s">
        <v>103</v>
      </c>
      <c r="G10">
        <v>23</v>
      </c>
      <c r="H10">
        <v>1</v>
      </c>
      <c r="I10">
        <v>1.411</v>
      </c>
      <c r="J10">
        <v>1</v>
      </c>
      <c r="K10">
        <f t="shared" si="0"/>
        <v>1.411</v>
      </c>
      <c r="L10">
        <v>5.2499999999999998E-2</v>
      </c>
      <c r="N10" t="s">
        <v>143</v>
      </c>
      <c r="O10">
        <v>6.25E-2</v>
      </c>
      <c r="P10">
        <v>0.218</v>
      </c>
      <c r="Q10" t="s">
        <v>143</v>
      </c>
      <c r="T10" t="s">
        <v>143</v>
      </c>
      <c r="U10" t="s">
        <v>132</v>
      </c>
      <c r="V10" t="s">
        <v>122</v>
      </c>
      <c r="W10" t="s">
        <v>121</v>
      </c>
      <c r="X10">
        <f t="shared" si="1"/>
        <v>0.10875</v>
      </c>
      <c r="Y10">
        <f t="shared" si="2"/>
        <v>0</v>
      </c>
      <c r="Z10">
        <f t="shared" si="3"/>
        <v>0.11179500000000001</v>
      </c>
      <c r="AA10">
        <f t="shared" si="5"/>
        <v>1.2992049999999999</v>
      </c>
      <c r="AB10" t="s">
        <v>121</v>
      </c>
    </row>
    <row r="11" spans="1:28" x14ac:dyDescent="0.25">
      <c r="A11" t="str">
        <f t="shared" si="4"/>
        <v>UKTMP-08</v>
      </c>
      <c r="B11" t="s">
        <v>16</v>
      </c>
      <c r="C11" s="4" t="s">
        <v>49</v>
      </c>
      <c r="D11" t="s">
        <v>50</v>
      </c>
      <c r="E11" t="s">
        <v>85</v>
      </c>
      <c r="G11">
        <v>2</v>
      </c>
      <c r="H11">
        <v>1</v>
      </c>
      <c r="I11">
        <v>1.21</v>
      </c>
      <c r="J11">
        <v>1</v>
      </c>
      <c r="K11">
        <f t="shared" si="0"/>
        <v>1.21</v>
      </c>
      <c r="L11">
        <f t="shared" ref="L11:L16" si="6">(K11-J11)*0.25</f>
        <v>5.2499999999999991E-2</v>
      </c>
      <c r="M11">
        <f t="shared" ref="M11:M16" si="7">(K11-J11)*0.55</f>
        <v>0.11549999999999999</v>
      </c>
      <c r="N11" t="s">
        <v>143</v>
      </c>
      <c r="Q11" t="s">
        <v>143</v>
      </c>
      <c r="T11" t="s">
        <v>143</v>
      </c>
      <c r="U11" t="s">
        <v>131</v>
      </c>
      <c r="V11" t="s">
        <v>121</v>
      </c>
      <c r="W11" t="s">
        <v>121</v>
      </c>
      <c r="X11">
        <f t="shared" si="1"/>
        <v>5.2499999999999991E-2</v>
      </c>
      <c r="Y11">
        <f t="shared" si="2"/>
        <v>5.7749999999999996E-2</v>
      </c>
      <c r="Z11">
        <f t="shared" si="3"/>
        <v>0.10648049999999998</v>
      </c>
      <c r="AA11">
        <f t="shared" si="5"/>
        <v>1.1035195</v>
      </c>
      <c r="AB11" t="s">
        <v>121</v>
      </c>
    </row>
    <row r="12" spans="1:28" x14ac:dyDescent="0.25">
      <c r="A12" t="str">
        <f t="shared" si="4"/>
        <v>UKTMP-09</v>
      </c>
      <c r="B12" t="s">
        <v>16</v>
      </c>
      <c r="C12" s="4" t="s">
        <v>98</v>
      </c>
      <c r="D12" t="s">
        <v>68</v>
      </c>
      <c r="E12" t="s">
        <v>99</v>
      </c>
      <c r="G12">
        <v>5</v>
      </c>
      <c r="H12">
        <v>1</v>
      </c>
      <c r="I12">
        <v>1.21</v>
      </c>
      <c r="J12">
        <v>1</v>
      </c>
      <c r="K12">
        <f>J12*I12</f>
        <v>1.21</v>
      </c>
      <c r="L12">
        <f t="shared" si="6"/>
        <v>5.2499999999999991E-2</v>
      </c>
      <c r="M12">
        <f t="shared" si="7"/>
        <v>0.11549999999999999</v>
      </c>
      <c r="N12" t="s">
        <v>143</v>
      </c>
      <c r="Q12" t="s">
        <v>143</v>
      </c>
      <c r="T12" t="s">
        <v>143</v>
      </c>
      <c r="U12" t="s">
        <v>132</v>
      </c>
      <c r="V12" t="s">
        <v>121</v>
      </c>
      <c r="W12" t="s">
        <v>121</v>
      </c>
      <c r="X12">
        <f t="shared" si="1"/>
        <v>5.2499999999999991E-2</v>
      </c>
      <c r="Y12">
        <f t="shared" si="2"/>
        <v>5.7749999999999996E-2</v>
      </c>
      <c r="Z12">
        <f t="shared" si="3"/>
        <v>0.10346174999999999</v>
      </c>
      <c r="AA12">
        <f t="shared" si="5"/>
        <v>1.1065382500000001</v>
      </c>
      <c r="AB12" t="s">
        <v>121</v>
      </c>
    </row>
    <row r="13" spans="1:28" hidden="1" x14ac:dyDescent="0.25">
      <c r="A13" t="str">
        <f t="shared" si="4"/>
        <v>EcoTi-01</v>
      </c>
      <c r="B13" t="s">
        <v>69</v>
      </c>
      <c r="C13" s="4" t="s">
        <v>42</v>
      </c>
      <c r="D13" t="s">
        <v>67</v>
      </c>
      <c r="E13" t="s">
        <v>97</v>
      </c>
      <c r="F13" t="s">
        <v>102</v>
      </c>
      <c r="G13">
        <v>5</v>
      </c>
      <c r="H13">
        <v>1</v>
      </c>
      <c r="I13">
        <v>1.21</v>
      </c>
      <c r="J13">
        <v>1</v>
      </c>
      <c r="K13">
        <f t="shared" si="0"/>
        <v>1.21</v>
      </c>
      <c r="L13">
        <f t="shared" si="6"/>
        <v>5.2499999999999991E-2</v>
      </c>
      <c r="M13">
        <f t="shared" si="7"/>
        <v>0.11549999999999999</v>
      </c>
      <c r="N13" t="s">
        <v>142</v>
      </c>
      <c r="O13">
        <v>0.22</v>
      </c>
      <c r="P13">
        <v>0</v>
      </c>
      <c r="Q13" t="s">
        <v>142</v>
      </c>
      <c r="R13">
        <v>0</v>
      </c>
      <c r="S13">
        <v>0.68</v>
      </c>
      <c r="T13" t="s">
        <v>142</v>
      </c>
      <c r="U13" t="s">
        <v>132</v>
      </c>
      <c r="V13" t="s">
        <v>118</v>
      </c>
      <c r="W13" t="s">
        <v>15</v>
      </c>
      <c r="X13">
        <f t="shared" si="1"/>
        <v>0.26149999999999995</v>
      </c>
      <c r="Y13">
        <f t="shared" si="2"/>
        <v>0.73775000000000002</v>
      </c>
      <c r="Z13">
        <f t="shared" si="3"/>
        <v>0.9010737499999999</v>
      </c>
      <c r="AA13">
        <f t="shared" si="5"/>
        <v>0.30892625000000007</v>
      </c>
      <c r="AB13" t="s">
        <v>142</v>
      </c>
    </row>
    <row r="14" spans="1:28" hidden="1" x14ac:dyDescent="0.25">
      <c r="A14" t="str">
        <f t="shared" si="4"/>
        <v>EcoTi-02</v>
      </c>
      <c r="B14" t="s">
        <v>69</v>
      </c>
      <c r="C14" s="4" t="s">
        <v>43</v>
      </c>
      <c r="D14" t="s">
        <v>70</v>
      </c>
      <c r="E14" t="s">
        <v>92</v>
      </c>
      <c r="F14" t="s">
        <v>102</v>
      </c>
      <c r="G14">
        <v>5</v>
      </c>
      <c r="H14">
        <v>1</v>
      </c>
      <c r="I14">
        <v>1.21</v>
      </c>
      <c r="J14">
        <v>1</v>
      </c>
      <c r="K14">
        <f t="shared" si="0"/>
        <v>1.21</v>
      </c>
      <c r="L14">
        <f t="shared" si="6"/>
        <v>5.2499999999999991E-2</v>
      </c>
      <c r="M14">
        <f t="shared" si="7"/>
        <v>0.11549999999999999</v>
      </c>
      <c r="N14" t="s">
        <v>142</v>
      </c>
      <c r="O14">
        <f>0.13*J14</f>
        <v>0.13</v>
      </c>
      <c r="P14">
        <f>0.036*J14</f>
        <v>3.5999999999999997E-2</v>
      </c>
      <c r="Q14" t="s">
        <v>142</v>
      </c>
      <c r="R14">
        <v>0</v>
      </c>
      <c r="S14">
        <f>0.78*J14*5/6</f>
        <v>0.65</v>
      </c>
      <c r="T14" t="s">
        <v>142</v>
      </c>
      <c r="U14" t="s">
        <v>132</v>
      </c>
      <c r="V14" t="s">
        <v>118</v>
      </c>
      <c r="W14" t="s">
        <v>15</v>
      </c>
      <c r="X14">
        <f t="shared" si="1"/>
        <v>0.17599999999999999</v>
      </c>
      <c r="Y14">
        <f t="shared" si="2"/>
        <v>0.74014999999999997</v>
      </c>
      <c r="Z14">
        <f t="shared" si="3"/>
        <v>0.81523654999999995</v>
      </c>
      <c r="AA14">
        <f t="shared" si="5"/>
        <v>0.39476345000000002</v>
      </c>
      <c r="AB14" t="s">
        <v>142</v>
      </c>
    </row>
    <row r="15" spans="1:28" hidden="1" x14ac:dyDescent="0.25">
      <c r="A15" t="str">
        <f t="shared" si="4"/>
        <v>EcoTi-03</v>
      </c>
      <c r="B15" t="s">
        <v>69</v>
      </c>
      <c r="C15" s="4" t="s">
        <v>44</v>
      </c>
      <c r="D15" t="s">
        <v>38</v>
      </c>
      <c r="E15" t="s">
        <v>134</v>
      </c>
      <c r="F15" t="s">
        <v>104</v>
      </c>
      <c r="G15">
        <v>5</v>
      </c>
      <c r="H15">
        <v>1</v>
      </c>
      <c r="I15">
        <v>1.21</v>
      </c>
      <c r="J15">
        <v>1</v>
      </c>
      <c r="K15">
        <f t="shared" si="0"/>
        <v>1.21</v>
      </c>
      <c r="L15">
        <f t="shared" si="6"/>
        <v>5.2499999999999991E-2</v>
      </c>
      <c r="M15">
        <f t="shared" si="7"/>
        <v>0.11549999999999999</v>
      </c>
      <c r="N15" t="s">
        <v>142</v>
      </c>
      <c r="O15">
        <f>0.05*J15</f>
        <v>0.05</v>
      </c>
      <c r="P15">
        <f>0.4*J15</f>
        <v>0.4</v>
      </c>
      <c r="Q15" t="s">
        <v>142</v>
      </c>
      <c r="T15" t="s">
        <v>142</v>
      </c>
      <c r="U15" t="s">
        <v>132</v>
      </c>
      <c r="V15" t="s">
        <v>118</v>
      </c>
      <c r="W15" t="s">
        <v>15</v>
      </c>
      <c r="X15">
        <f t="shared" si="1"/>
        <v>9.9999999999999992E-2</v>
      </c>
      <c r="Y15">
        <f t="shared" si="2"/>
        <v>0.41775000000000007</v>
      </c>
      <c r="Z15">
        <f t="shared" si="3"/>
        <v>0.46081175000000008</v>
      </c>
      <c r="AA15">
        <f t="shared" si="5"/>
        <v>0.74918824999999989</v>
      </c>
      <c r="AB15" t="s">
        <v>142</v>
      </c>
    </row>
    <row r="16" spans="1:28" hidden="1" x14ac:dyDescent="0.25">
      <c r="A16" t="str">
        <f>CONCATENATE(B16,"-",C16)</f>
        <v>EcoTi-09</v>
      </c>
      <c r="B16" t="s">
        <v>69</v>
      </c>
      <c r="C16" s="4" t="s">
        <v>98</v>
      </c>
      <c r="D16" t="s">
        <v>38</v>
      </c>
      <c r="E16" t="s">
        <v>135</v>
      </c>
      <c r="F16" t="s">
        <v>104</v>
      </c>
      <c r="G16">
        <v>5</v>
      </c>
      <c r="H16">
        <v>1</v>
      </c>
      <c r="I16">
        <v>1.21</v>
      </c>
      <c r="J16">
        <v>1</v>
      </c>
      <c r="K16">
        <f>J16*I16</f>
        <v>1.21</v>
      </c>
      <c r="L16">
        <f t="shared" si="6"/>
        <v>5.2499999999999991E-2</v>
      </c>
      <c r="M16">
        <f t="shared" si="7"/>
        <v>0.11549999999999999</v>
      </c>
      <c r="N16" t="s">
        <v>142</v>
      </c>
      <c r="O16">
        <f>0.05*J16</f>
        <v>0.05</v>
      </c>
      <c r="P16">
        <f>0.4*J16</f>
        <v>0.4</v>
      </c>
      <c r="Q16" t="s">
        <v>142</v>
      </c>
      <c r="T16" t="s">
        <v>142</v>
      </c>
      <c r="U16" t="s">
        <v>136</v>
      </c>
      <c r="V16" t="s">
        <v>118</v>
      </c>
      <c r="W16" t="s">
        <v>15</v>
      </c>
      <c r="X16">
        <f t="shared" si="1"/>
        <v>9.9999999999999992E-2</v>
      </c>
      <c r="Y16">
        <f t="shared" si="2"/>
        <v>0.41775000000000007</v>
      </c>
      <c r="Z16">
        <f t="shared" si="3"/>
        <v>0.45171000000000006</v>
      </c>
      <c r="AA16">
        <f t="shared" si="5"/>
        <v>0.75828999999999991</v>
      </c>
      <c r="AB16" t="s">
        <v>142</v>
      </c>
    </row>
    <row r="17" spans="1:28" hidden="1" x14ac:dyDescent="0.25">
      <c r="A17" t="str">
        <f t="shared" si="4"/>
        <v>EcoTi-04</v>
      </c>
      <c r="B17" t="s">
        <v>69</v>
      </c>
      <c r="C17" s="4" t="s">
        <v>45</v>
      </c>
      <c r="D17" t="s">
        <v>71</v>
      </c>
      <c r="E17" t="s">
        <v>93</v>
      </c>
      <c r="F17" t="s">
        <v>103</v>
      </c>
      <c r="G17">
        <v>5</v>
      </c>
      <c r="H17">
        <v>1</v>
      </c>
      <c r="I17">
        <v>1.411</v>
      </c>
      <c r="J17">
        <v>1</v>
      </c>
      <c r="K17">
        <f t="shared" si="0"/>
        <v>1.411</v>
      </c>
      <c r="L17">
        <v>5.2499999999999998E-2</v>
      </c>
      <c r="N17" t="s">
        <v>142</v>
      </c>
      <c r="O17">
        <v>6.25E-2</v>
      </c>
      <c r="P17">
        <v>0.218</v>
      </c>
      <c r="Q17" t="s">
        <v>142</v>
      </c>
      <c r="T17" t="s">
        <v>142</v>
      </c>
      <c r="U17" t="s">
        <v>132</v>
      </c>
      <c r="V17" t="s">
        <v>122</v>
      </c>
      <c r="W17" t="s">
        <v>15</v>
      </c>
      <c r="X17">
        <f t="shared" si="1"/>
        <v>0.10875</v>
      </c>
      <c r="Y17">
        <f t="shared" si="2"/>
        <v>0</v>
      </c>
      <c r="Z17">
        <f t="shared" si="3"/>
        <v>0.11179500000000001</v>
      </c>
      <c r="AA17">
        <f t="shared" si="5"/>
        <v>1.2992049999999999</v>
      </c>
      <c r="AB17" t="s">
        <v>142</v>
      </c>
    </row>
    <row r="18" spans="1:28" hidden="1" x14ac:dyDescent="0.25">
      <c r="A18" t="str">
        <f t="shared" si="4"/>
        <v>EcoTi-05</v>
      </c>
      <c r="B18" t="s">
        <v>69</v>
      </c>
      <c r="C18" s="4" t="s">
        <v>46</v>
      </c>
      <c r="D18" t="s">
        <v>72</v>
      </c>
      <c r="E18" t="s">
        <v>94</v>
      </c>
      <c r="F18" t="s">
        <v>103</v>
      </c>
      <c r="G18">
        <v>5</v>
      </c>
      <c r="H18">
        <v>1</v>
      </c>
      <c r="I18">
        <v>1.1599999999999999</v>
      </c>
      <c r="J18">
        <v>1</v>
      </c>
      <c r="K18">
        <f t="shared" si="0"/>
        <v>1.1599999999999999</v>
      </c>
      <c r="L18">
        <v>5.2499999999999998E-2</v>
      </c>
      <c r="M18">
        <v>0</v>
      </c>
      <c r="N18" t="s">
        <v>142</v>
      </c>
      <c r="O18">
        <v>6.25E-2</v>
      </c>
      <c r="P18">
        <v>0.218</v>
      </c>
      <c r="Q18" t="s">
        <v>142</v>
      </c>
      <c r="R18">
        <v>0.08</v>
      </c>
      <c r="S18">
        <v>0</v>
      </c>
      <c r="T18" t="s">
        <v>142</v>
      </c>
      <c r="U18" t="s">
        <v>132</v>
      </c>
      <c r="V18" t="s">
        <v>127</v>
      </c>
      <c r="W18" t="s">
        <v>15</v>
      </c>
      <c r="X18">
        <f t="shared" si="1"/>
        <v>0.18875</v>
      </c>
      <c r="Y18">
        <f t="shared" si="2"/>
        <v>0</v>
      </c>
      <c r="Z18">
        <f t="shared" si="3"/>
        <v>0.19403500000000001</v>
      </c>
      <c r="AA18">
        <f t="shared" si="5"/>
        <v>0.96596499999999996</v>
      </c>
      <c r="AB18" t="s">
        <v>142</v>
      </c>
    </row>
    <row r="19" spans="1:28" hidden="1" x14ac:dyDescent="0.25">
      <c r="A19" t="str">
        <f t="shared" si="4"/>
        <v>EcoTi-06</v>
      </c>
      <c r="B19" t="s">
        <v>69</v>
      </c>
      <c r="C19" s="4" t="s">
        <v>47</v>
      </c>
      <c r="D19" t="s">
        <v>39</v>
      </c>
      <c r="E19" t="s">
        <v>87</v>
      </c>
      <c r="F19" t="s">
        <v>103</v>
      </c>
      <c r="G19">
        <v>23</v>
      </c>
      <c r="H19">
        <v>1</v>
      </c>
      <c r="I19">
        <v>1.411</v>
      </c>
      <c r="J19">
        <v>1</v>
      </c>
      <c r="K19">
        <f t="shared" si="0"/>
        <v>1.411</v>
      </c>
      <c r="L19">
        <v>5.2499999999999998E-2</v>
      </c>
      <c r="M19">
        <v>0</v>
      </c>
      <c r="N19" t="s">
        <v>142</v>
      </c>
      <c r="O19">
        <v>6.25E-2</v>
      </c>
      <c r="P19">
        <v>0.218</v>
      </c>
      <c r="Q19" t="s">
        <v>142</v>
      </c>
      <c r="T19" t="s">
        <v>142</v>
      </c>
      <c r="U19" t="s">
        <v>132</v>
      </c>
      <c r="V19" t="s">
        <v>122</v>
      </c>
      <c r="W19" t="s">
        <v>15</v>
      </c>
      <c r="X19">
        <f t="shared" si="1"/>
        <v>0.10875</v>
      </c>
      <c r="Y19">
        <f t="shared" si="2"/>
        <v>0</v>
      </c>
      <c r="Z19">
        <f t="shared" si="3"/>
        <v>0.11179500000000001</v>
      </c>
      <c r="AA19">
        <f t="shared" si="5"/>
        <v>1.2992049999999999</v>
      </c>
      <c r="AB19" t="s">
        <v>142</v>
      </c>
    </row>
    <row r="20" spans="1:28" hidden="1" x14ac:dyDescent="0.25">
      <c r="A20" t="str">
        <f t="shared" si="4"/>
        <v>EcoTi-07</v>
      </c>
      <c r="B20" t="s">
        <v>69</v>
      </c>
      <c r="C20" s="4" t="s">
        <v>48</v>
      </c>
      <c r="D20" t="s">
        <v>82</v>
      </c>
      <c r="E20" t="s">
        <v>95</v>
      </c>
      <c r="G20">
        <v>5</v>
      </c>
      <c r="H20">
        <v>1</v>
      </c>
      <c r="I20">
        <v>1.21</v>
      </c>
      <c r="J20">
        <v>1</v>
      </c>
      <c r="K20">
        <f t="shared" si="0"/>
        <v>1.21</v>
      </c>
      <c r="L20">
        <f>(K20-J20)*0.25</f>
        <v>5.2499999999999991E-2</v>
      </c>
      <c r="M20">
        <f>(K20-J20)*0.55</f>
        <v>0.11549999999999999</v>
      </c>
      <c r="N20" t="s">
        <v>142</v>
      </c>
      <c r="Q20" t="s">
        <v>142</v>
      </c>
      <c r="T20" t="s">
        <v>142</v>
      </c>
      <c r="U20" t="s">
        <v>132</v>
      </c>
      <c r="V20" t="s">
        <v>121</v>
      </c>
      <c r="W20" t="s">
        <v>121</v>
      </c>
      <c r="X20">
        <f t="shared" si="1"/>
        <v>5.2499999999999991E-2</v>
      </c>
      <c r="Y20">
        <f t="shared" si="2"/>
        <v>5.7749999999999996E-2</v>
      </c>
      <c r="Z20">
        <f t="shared" si="3"/>
        <v>0.10346174999999999</v>
      </c>
      <c r="AA20">
        <f t="shared" si="5"/>
        <v>1.1065382500000001</v>
      </c>
      <c r="AB20" t="s">
        <v>160</v>
      </c>
    </row>
    <row r="21" spans="1:28" hidden="1" x14ac:dyDescent="0.25">
      <c r="A21" s="5" t="str">
        <f t="shared" si="4"/>
        <v>EcoTi-08</v>
      </c>
      <c r="B21" s="5" t="s">
        <v>69</v>
      </c>
      <c r="C21" s="4" t="s">
        <v>49</v>
      </c>
      <c r="D21" t="s">
        <v>83</v>
      </c>
      <c r="E21" t="s">
        <v>96</v>
      </c>
      <c r="F21" t="s">
        <v>103</v>
      </c>
      <c r="G21">
        <v>5</v>
      </c>
      <c r="H21">
        <v>1</v>
      </c>
      <c r="I21">
        <v>1.21</v>
      </c>
      <c r="J21">
        <v>1</v>
      </c>
      <c r="K21">
        <f t="shared" si="0"/>
        <v>1.21</v>
      </c>
      <c r="L21">
        <f>(K21-J21)*0.25</f>
        <v>5.2499999999999991E-2</v>
      </c>
      <c r="M21">
        <f>(K21-J21)*0.55</f>
        <v>0.11549999999999999</v>
      </c>
      <c r="N21" t="s">
        <v>142</v>
      </c>
      <c r="Q21" t="s">
        <v>142</v>
      </c>
      <c r="T21" t="s">
        <v>142</v>
      </c>
      <c r="U21" t="s">
        <v>132</v>
      </c>
      <c r="V21" t="s">
        <v>122</v>
      </c>
      <c r="W21" t="s">
        <v>15</v>
      </c>
      <c r="X21">
        <f t="shared" si="1"/>
        <v>5.2499999999999991E-2</v>
      </c>
      <c r="Y21">
        <f t="shared" si="2"/>
        <v>5.7749999999999996E-2</v>
      </c>
      <c r="Z21">
        <f t="shared" si="3"/>
        <v>0.10346174999999999</v>
      </c>
      <c r="AA21">
        <f t="shared" si="5"/>
        <v>1.1065382500000001</v>
      </c>
      <c r="AB21" t="s">
        <v>142</v>
      </c>
    </row>
  </sheetData>
  <autoFilter ref="A3:AB21">
    <filterColumn colId="1">
      <filters>
        <filter val="UKTMP"/>
      </filters>
    </filterColumn>
  </autoFilter>
  <mergeCells count="3">
    <mergeCell ref="L2:N2"/>
    <mergeCell ref="O2:Q2"/>
    <mergeCell ref="R2:T2"/>
  </mergeCells>
  <phoneticPr fontId="2" type="noConversion"/>
  <pageMargins left="0.25" right="0.25" top="0.75" bottom="0.75" header="0.3" footer="0.3"/>
  <pageSetup paperSize="8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workbookViewId="0">
      <selection activeCell="G14" sqref="G14"/>
    </sheetView>
  </sheetViews>
  <sheetFormatPr baseColWidth="10" defaultRowHeight="15" x14ac:dyDescent="0.25"/>
  <cols>
    <col min="1" max="1" width="20.5703125" customWidth="1"/>
  </cols>
  <sheetData>
    <row r="3" spans="1:14" ht="30" x14ac:dyDescent="0.25">
      <c r="A3" s="39" t="s">
        <v>146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</row>
    <row r="4" spans="1:14" x14ac:dyDescent="0.25">
      <c r="A4" s="39" t="s">
        <v>51</v>
      </c>
      <c r="B4">
        <v>2012</v>
      </c>
      <c r="C4">
        <v>2013</v>
      </c>
      <c r="D4">
        <v>2014</v>
      </c>
      <c r="E4">
        <v>2015</v>
      </c>
      <c r="F4">
        <v>2016</v>
      </c>
      <c r="G4">
        <v>2017</v>
      </c>
      <c r="H4">
        <v>2018</v>
      </c>
      <c r="I4">
        <v>2019</v>
      </c>
      <c r="J4">
        <v>2020</v>
      </c>
      <c r="K4">
        <v>2021</v>
      </c>
      <c r="L4">
        <v>2022</v>
      </c>
      <c r="M4">
        <v>2023</v>
      </c>
      <c r="N4">
        <v>2024</v>
      </c>
    </row>
    <row r="5" spans="1:14" x14ac:dyDescent="0.25">
      <c r="A5" t="s">
        <v>144</v>
      </c>
      <c r="C5" s="57">
        <v>1</v>
      </c>
      <c r="D5" s="57">
        <f>C5</f>
        <v>1</v>
      </c>
      <c r="E5" s="57">
        <f t="shared" ref="E5:N5" si="0">D5</f>
        <v>1</v>
      </c>
      <c r="F5" s="57">
        <f t="shared" si="0"/>
        <v>1</v>
      </c>
      <c r="G5" s="57">
        <f t="shared" si="0"/>
        <v>1</v>
      </c>
      <c r="H5" s="57">
        <f t="shared" si="0"/>
        <v>1</v>
      </c>
      <c r="I5" s="57">
        <f t="shared" si="0"/>
        <v>1</v>
      </c>
      <c r="J5" s="57">
        <f t="shared" si="0"/>
        <v>1</v>
      </c>
      <c r="K5" s="57">
        <f t="shared" si="0"/>
        <v>1</v>
      </c>
      <c r="L5" s="57">
        <f t="shared" si="0"/>
        <v>1</v>
      </c>
      <c r="M5" s="57">
        <f t="shared" si="0"/>
        <v>1</v>
      </c>
      <c r="N5" s="57">
        <f t="shared" si="0"/>
        <v>1</v>
      </c>
    </row>
    <row r="6" spans="1:14" x14ac:dyDescent="0.25">
      <c r="A6" t="s">
        <v>143</v>
      </c>
      <c r="B6" s="57">
        <v>25</v>
      </c>
      <c r="C6">
        <f>B6*C5</f>
        <v>25</v>
      </c>
      <c r="D6">
        <f t="shared" ref="D6:I6" si="1">C6*D5</f>
        <v>25</v>
      </c>
      <c r="E6">
        <f t="shared" si="1"/>
        <v>25</v>
      </c>
      <c r="F6">
        <f t="shared" si="1"/>
        <v>25</v>
      </c>
      <c r="G6">
        <f t="shared" si="1"/>
        <v>25</v>
      </c>
      <c r="H6">
        <f t="shared" si="1"/>
        <v>25</v>
      </c>
      <c r="I6">
        <f t="shared" si="1"/>
        <v>25</v>
      </c>
      <c r="J6">
        <f>I6*J5</f>
        <v>25</v>
      </c>
      <c r="K6">
        <f>J6*K5</f>
        <v>25</v>
      </c>
      <c r="L6">
        <f>K6*L5</f>
        <v>25</v>
      </c>
      <c r="M6">
        <f>L6*M5</f>
        <v>25</v>
      </c>
      <c r="N6">
        <f>M6*N5</f>
        <v>25</v>
      </c>
    </row>
    <row r="7" spans="1:14" x14ac:dyDescent="0.25">
      <c r="A7" t="s">
        <v>150</v>
      </c>
      <c r="C7" s="57">
        <v>1</v>
      </c>
      <c r="D7" s="57">
        <v>1</v>
      </c>
      <c r="E7" s="57">
        <v>1</v>
      </c>
      <c r="F7" s="57">
        <v>1</v>
      </c>
      <c r="G7" s="57">
        <v>1</v>
      </c>
      <c r="H7" s="57">
        <v>1</v>
      </c>
      <c r="I7" s="57">
        <v>1</v>
      </c>
      <c r="J7" s="57">
        <v>1</v>
      </c>
      <c r="K7" s="57">
        <v>1</v>
      </c>
      <c r="L7" s="57">
        <v>1</v>
      </c>
      <c r="M7" s="57">
        <v>1</v>
      </c>
      <c r="N7" s="57">
        <v>1</v>
      </c>
    </row>
    <row r="8" spans="1:14" x14ac:dyDescent="0.25">
      <c r="A8" t="s">
        <v>142</v>
      </c>
      <c r="B8" s="57">
        <v>15.5</v>
      </c>
      <c r="C8">
        <f t="shared" ref="C8:M8" si="2">B8*C7</f>
        <v>15.5</v>
      </c>
      <c r="D8">
        <f t="shared" si="2"/>
        <v>15.5</v>
      </c>
      <c r="E8">
        <f t="shared" si="2"/>
        <v>15.5</v>
      </c>
      <c r="F8">
        <f t="shared" si="2"/>
        <v>15.5</v>
      </c>
      <c r="G8">
        <f t="shared" si="2"/>
        <v>15.5</v>
      </c>
      <c r="H8">
        <f t="shared" si="2"/>
        <v>15.5</v>
      </c>
      <c r="I8">
        <f t="shared" si="2"/>
        <v>15.5</v>
      </c>
      <c r="J8">
        <f t="shared" ref="J8" si="3">I8*J7</f>
        <v>15.5</v>
      </c>
      <c r="K8">
        <f t="shared" ref="K8" si="4">J8*K7</f>
        <v>15.5</v>
      </c>
      <c r="L8">
        <f t="shared" ref="L8" si="5">K8*L7</f>
        <v>15.5</v>
      </c>
      <c r="M8">
        <f t="shared" ref="M8" si="6">L8*M7</f>
        <v>15.5</v>
      </c>
      <c r="N8">
        <f t="shared" ref="N8" si="7">M8*N7</f>
        <v>15.5</v>
      </c>
    </row>
    <row r="9" spans="1:14" x14ac:dyDescent="0.25">
      <c r="A9" t="s">
        <v>159</v>
      </c>
      <c r="C9" s="57">
        <v>1</v>
      </c>
      <c r="D9" s="57">
        <v>1</v>
      </c>
      <c r="E9" s="57">
        <v>1</v>
      </c>
      <c r="F9" s="57">
        <v>1</v>
      </c>
      <c r="G9" s="57">
        <v>1</v>
      </c>
      <c r="H9" s="57">
        <v>1</v>
      </c>
      <c r="I9" s="57">
        <v>1</v>
      </c>
      <c r="J9" s="57">
        <v>1</v>
      </c>
      <c r="K9" s="57">
        <v>1</v>
      </c>
      <c r="L9" s="57">
        <v>1</v>
      </c>
      <c r="M9" s="57">
        <v>1</v>
      </c>
      <c r="N9" s="57">
        <v>1</v>
      </c>
    </row>
    <row r="10" spans="1:14" x14ac:dyDescent="0.25">
      <c r="A10" t="s">
        <v>160</v>
      </c>
      <c r="B10" s="57">
        <v>17.5</v>
      </c>
      <c r="C10">
        <f t="shared" ref="C10:M10" si="8">B10*C9</f>
        <v>17.5</v>
      </c>
      <c r="D10">
        <f t="shared" si="8"/>
        <v>17.5</v>
      </c>
      <c r="E10">
        <f t="shared" si="8"/>
        <v>17.5</v>
      </c>
      <c r="F10">
        <f t="shared" si="8"/>
        <v>17.5</v>
      </c>
      <c r="G10">
        <f t="shared" si="8"/>
        <v>17.5</v>
      </c>
      <c r="H10">
        <f t="shared" si="8"/>
        <v>17.5</v>
      </c>
      <c r="I10">
        <f t="shared" si="8"/>
        <v>17.5</v>
      </c>
      <c r="J10">
        <f t="shared" ref="J10" si="9">I10*J9</f>
        <v>17.5</v>
      </c>
      <c r="K10">
        <f t="shared" ref="K10" si="10">J10*K9</f>
        <v>17.5</v>
      </c>
      <c r="L10">
        <f t="shared" ref="L10" si="11">K10*L9</f>
        <v>17.5</v>
      </c>
      <c r="M10">
        <f t="shared" ref="M10" si="12">L10*M9</f>
        <v>17.5</v>
      </c>
      <c r="N10">
        <f t="shared" ref="N10" si="13">M10*N9</f>
        <v>17.5</v>
      </c>
    </row>
    <row r="11" spans="1:14" x14ac:dyDescent="0.25">
      <c r="A11" t="s">
        <v>121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t="s">
        <v>149</v>
      </c>
      <c r="C12" s="57">
        <v>1</v>
      </c>
      <c r="D12" s="57">
        <v>1</v>
      </c>
      <c r="E12" s="57">
        <v>1</v>
      </c>
      <c r="F12" s="57">
        <v>1</v>
      </c>
      <c r="G12" s="57">
        <v>1</v>
      </c>
      <c r="H12" s="57">
        <v>1</v>
      </c>
      <c r="I12" s="57">
        <v>1</v>
      </c>
      <c r="J12" s="57">
        <v>1</v>
      </c>
      <c r="K12" s="57">
        <v>1</v>
      </c>
      <c r="L12" s="57">
        <v>1</v>
      </c>
      <c r="M12" s="57">
        <v>1</v>
      </c>
      <c r="N12" s="57">
        <v>1</v>
      </c>
    </row>
    <row r="13" spans="1:14" x14ac:dyDescent="0.25">
      <c r="A13" t="s">
        <v>148</v>
      </c>
      <c r="B13" s="57">
        <v>18.8</v>
      </c>
      <c r="C13">
        <f t="shared" ref="C13:M13" si="14">B13*C12</f>
        <v>18.8</v>
      </c>
      <c r="D13">
        <f t="shared" si="14"/>
        <v>18.8</v>
      </c>
      <c r="E13">
        <f t="shared" si="14"/>
        <v>18.8</v>
      </c>
      <c r="F13">
        <f t="shared" si="14"/>
        <v>18.8</v>
      </c>
      <c r="G13">
        <f t="shared" si="14"/>
        <v>18.8</v>
      </c>
      <c r="H13">
        <f t="shared" si="14"/>
        <v>18.8</v>
      </c>
      <c r="I13">
        <f t="shared" si="14"/>
        <v>18.8</v>
      </c>
      <c r="J13">
        <f t="shared" si="14"/>
        <v>18.8</v>
      </c>
      <c r="K13">
        <f t="shared" si="14"/>
        <v>18.8</v>
      </c>
      <c r="L13">
        <f t="shared" si="14"/>
        <v>18.8</v>
      </c>
      <c r="M13">
        <f t="shared" si="14"/>
        <v>18.8</v>
      </c>
      <c r="N13">
        <f>I13*N12</f>
        <v>18.8</v>
      </c>
    </row>
    <row r="15" spans="1:14" x14ac:dyDescent="0.25">
      <c r="A15" s="75" t="s">
        <v>201</v>
      </c>
      <c r="B15" s="75" t="s">
        <v>202</v>
      </c>
      <c r="C15" s="75"/>
      <c r="D15" s="75"/>
      <c r="E15" s="75"/>
    </row>
    <row r="16" spans="1:14" ht="30" x14ac:dyDescent="0.25">
      <c r="A16" s="39" t="s">
        <v>147</v>
      </c>
      <c r="B16">
        <v>2</v>
      </c>
      <c r="C16">
        <v>3</v>
      </c>
      <c r="D16">
        <v>4</v>
      </c>
      <c r="E16">
        <v>5</v>
      </c>
      <c r="F16">
        <v>6</v>
      </c>
      <c r="G16">
        <v>7</v>
      </c>
      <c r="H16">
        <v>8</v>
      </c>
      <c r="I16">
        <v>9</v>
      </c>
      <c r="J16">
        <v>10</v>
      </c>
      <c r="K16">
        <v>11</v>
      </c>
      <c r="L16">
        <v>12</v>
      </c>
      <c r="M16">
        <v>13</v>
      </c>
      <c r="N16">
        <v>14</v>
      </c>
    </row>
    <row r="17" spans="1:14" x14ac:dyDescent="0.25">
      <c r="A17" s="39" t="s">
        <v>51</v>
      </c>
      <c r="B17">
        <v>2012</v>
      </c>
      <c r="C17">
        <v>2013</v>
      </c>
      <c r="D17">
        <v>2014</v>
      </c>
      <c r="E17">
        <v>2015</v>
      </c>
      <c r="F17">
        <v>2016</v>
      </c>
      <c r="G17">
        <v>2017</v>
      </c>
      <c r="H17">
        <v>2018</v>
      </c>
      <c r="I17">
        <v>2019</v>
      </c>
      <c r="J17">
        <v>2020</v>
      </c>
      <c r="K17">
        <v>2021</v>
      </c>
      <c r="L17">
        <v>2022</v>
      </c>
      <c r="M17">
        <v>2023</v>
      </c>
      <c r="N17">
        <v>2024</v>
      </c>
    </row>
    <row r="18" spans="1:14" x14ac:dyDescent="0.25">
      <c r="A18" t="s">
        <v>145</v>
      </c>
      <c r="B18" s="57">
        <v>0.5</v>
      </c>
      <c r="C18" s="57">
        <v>0.5</v>
      </c>
      <c r="D18" s="57">
        <v>0.5</v>
      </c>
      <c r="E18" s="57">
        <v>0.5</v>
      </c>
      <c r="F18" s="57">
        <v>0.5</v>
      </c>
      <c r="G18" s="57">
        <v>0.5</v>
      </c>
      <c r="H18" s="57">
        <v>0.5</v>
      </c>
      <c r="I18" s="57">
        <v>0.5</v>
      </c>
      <c r="J18" s="57">
        <v>0.5</v>
      </c>
      <c r="K18" s="57">
        <v>0.5</v>
      </c>
      <c r="L18" s="57">
        <v>0.5</v>
      </c>
      <c r="M18" s="57">
        <v>0.5</v>
      </c>
      <c r="N18" s="57">
        <v>0.5</v>
      </c>
    </row>
    <row r="19" spans="1:14" x14ac:dyDescent="0.25">
      <c r="A19" t="s">
        <v>143</v>
      </c>
      <c r="B19">
        <f t="shared" ref="B19:N19" si="15">VLOOKUP($A$19,pxlingot,B16,FALSE)*B18</f>
        <v>12.5</v>
      </c>
      <c r="C19">
        <f t="shared" si="15"/>
        <v>12.5</v>
      </c>
      <c r="D19">
        <f t="shared" si="15"/>
        <v>12.5</v>
      </c>
      <c r="E19">
        <f t="shared" si="15"/>
        <v>12.5</v>
      </c>
      <c r="F19">
        <f t="shared" si="15"/>
        <v>12.5</v>
      </c>
      <c r="G19">
        <f t="shared" si="15"/>
        <v>12.5</v>
      </c>
      <c r="H19">
        <f t="shared" si="15"/>
        <v>12.5</v>
      </c>
      <c r="I19">
        <f t="shared" si="15"/>
        <v>12.5</v>
      </c>
      <c r="J19">
        <f t="shared" si="15"/>
        <v>12.5</v>
      </c>
      <c r="K19">
        <f t="shared" si="15"/>
        <v>12.5</v>
      </c>
      <c r="L19">
        <f t="shared" si="15"/>
        <v>12.5</v>
      </c>
      <c r="M19">
        <f t="shared" si="15"/>
        <v>12.5</v>
      </c>
      <c r="N19">
        <f t="shared" si="15"/>
        <v>12.5</v>
      </c>
    </row>
    <row r="20" spans="1:14" x14ac:dyDescent="0.25">
      <c r="A20" t="s">
        <v>142</v>
      </c>
      <c r="B20" s="57">
        <v>1</v>
      </c>
      <c r="C20" s="57">
        <v>1</v>
      </c>
      <c r="D20" s="57">
        <v>1</v>
      </c>
      <c r="E20" s="57">
        <v>1</v>
      </c>
      <c r="F20" s="57">
        <v>1</v>
      </c>
      <c r="G20" s="57">
        <v>1</v>
      </c>
      <c r="H20" s="57">
        <v>1</v>
      </c>
      <c r="I20" s="57">
        <v>1</v>
      </c>
      <c r="J20" s="57">
        <v>1</v>
      </c>
      <c r="K20" s="57">
        <v>1</v>
      </c>
      <c r="L20" s="57">
        <v>1</v>
      </c>
      <c r="M20" s="57">
        <v>1</v>
      </c>
      <c r="N20" s="57">
        <v>1</v>
      </c>
    </row>
    <row r="21" spans="1:14" x14ac:dyDescent="0.25">
      <c r="A21" t="s">
        <v>160</v>
      </c>
      <c r="B21" s="57">
        <v>3</v>
      </c>
      <c r="C21" s="57">
        <v>3</v>
      </c>
      <c r="D21" s="57">
        <v>3</v>
      </c>
      <c r="E21" s="57">
        <v>3</v>
      </c>
      <c r="F21" s="57">
        <v>3</v>
      </c>
      <c r="G21" s="57">
        <v>3</v>
      </c>
      <c r="H21" s="57">
        <v>3</v>
      </c>
      <c r="I21" s="57">
        <v>3</v>
      </c>
      <c r="J21" s="57">
        <v>3</v>
      </c>
      <c r="K21" s="57">
        <v>3</v>
      </c>
      <c r="L21" s="57">
        <v>3</v>
      </c>
      <c r="M21" s="57">
        <v>3</v>
      </c>
      <c r="N21" s="57">
        <v>3</v>
      </c>
    </row>
    <row r="22" spans="1:14" x14ac:dyDescent="0.25">
      <c r="A22" t="s">
        <v>148</v>
      </c>
      <c r="B22" s="57">
        <v>5</v>
      </c>
      <c r="C22" s="57">
        <v>5</v>
      </c>
      <c r="D22" s="57">
        <v>5</v>
      </c>
      <c r="E22" s="57">
        <v>5</v>
      </c>
      <c r="F22" s="57">
        <v>5</v>
      </c>
      <c r="G22" s="57">
        <v>5</v>
      </c>
      <c r="H22" s="57">
        <v>5</v>
      </c>
      <c r="I22" s="57">
        <v>5</v>
      </c>
      <c r="J22" s="57">
        <v>5</v>
      </c>
      <c r="K22" s="57">
        <v>5</v>
      </c>
      <c r="L22" s="57">
        <v>5</v>
      </c>
      <c r="M22" s="57">
        <v>5</v>
      </c>
      <c r="N22" s="57">
        <v>5</v>
      </c>
    </row>
    <row r="25" spans="1:14" ht="30" x14ac:dyDescent="0.25">
      <c r="A25" s="39" t="s">
        <v>151</v>
      </c>
      <c r="B25">
        <v>2</v>
      </c>
      <c r="C25">
        <v>3</v>
      </c>
      <c r="D25">
        <v>4</v>
      </c>
      <c r="E25">
        <v>5</v>
      </c>
      <c r="F25">
        <v>6</v>
      </c>
      <c r="G25">
        <v>7</v>
      </c>
      <c r="H25">
        <v>8</v>
      </c>
      <c r="I25">
        <v>9</v>
      </c>
      <c r="J25">
        <v>10</v>
      </c>
      <c r="K25">
        <v>11</v>
      </c>
      <c r="L25">
        <v>12</v>
      </c>
      <c r="M25">
        <v>13</v>
      </c>
      <c r="N25">
        <v>14</v>
      </c>
    </row>
    <row r="26" spans="1:14" x14ac:dyDescent="0.25">
      <c r="A26" s="39" t="s">
        <v>51</v>
      </c>
      <c r="B26">
        <v>2012</v>
      </c>
      <c r="C26">
        <v>2013</v>
      </c>
      <c r="D26">
        <v>2014</v>
      </c>
      <c r="E26">
        <v>2015</v>
      </c>
      <c r="F26">
        <v>2016</v>
      </c>
      <c r="G26">
        <v>2017</v>
      </c>
      <c r="H26">
        <v>2018</v>
      </c>
      <c r="I26">
        <v>2019</v>
      </c>
      <c r="J26">
        <v>2020</v>
      </c>
      <c r="K26">
        <v>2021</v>
      </c>
      <c r="L26">
        <v>2022</v>
      </c>
      <c r="M26">
        <v>2023</v>
      </c>
      <c r="N26">
        <v>2024</v>
      </c>
    </row>
    <row r="27" spans="1:14" x14ac:dyDescent="0.25">
      <c r="A27" t="s">
        <v>152</v>
      </c>
      <c r="B27" s="57">
        <v>0.3</v>
      </c>
      <c r="C27" s="57">
        <v>0.3</v>
      </c>
      <c r="D27" s="57">
        <v>0.3</v>
      </c>
      <c r="E27" s="57">
        <v>0.3</v>
      </c>
      <c r="F27" s="57">
        <v>0.3</v>
      </c>
      <c r="G27" s="57">
        <v>0.3</v>
      </c>
      <c r="H27" s="57">
        <v>0.3</v>
      </c>
      <c r="I27" s="57">
        <v>0.3</v>
      </c>
      <c r="J27" s="57">
        <v>0.3</v>
      </c>
      <c r="K27" s="57">
        <v>0.3</v>
      </c>
      <c r="L27" s="57">
        <v>0.3</v>
      </c>
      <c r="M27" s="57">
        <v>0.3</v>
      </c>
      <c r="N27" s="57">
        <v>0.3</v>
      </c>
    </row>
    <row r="28" spans="1:14" x14ac:dyDescent="0.25">
      <c r="A28" t="s">
        <v>143</v>
      </c>
      <c r="B28">
        <f t="shared" ref="B28:N28" si="16">VLOOKUP($A$28,pxlingot,B25,FALSE)*B27</f>
        <v>7.5</v>
      </c>
      <c r="C28">
        <f t="shared" si="16"/>
        <v>7.5</v>
      </c>
      <c r="D28">
        <f t="shared" si="16"/>
        <v>7.5</v>
      </c>
      <c r="E28">
        <f t="shared" si="16"/>
        <v>7.5</v>
      </c>
      <c r="F28">
        <f t="shared" si="16"/>
        <v>7.5</v>
      </c>
      <c r="G28">
        <f t="shared" si="16"/>
        <v>7.5</v>
      </c>
      <c r="H28">
        <f t="shared" si="16"/>
        <v>7.5</v>
      </c>
      <c r="I28">
        <f t="shared" si="16"/>
        <v>7.5</v>
      </c>
      <c r="J28">
        <f t="shared" si="16"/>
        <v>7.5</v>
      </c>
      <c r="K28">
        <f t="shared" si="16"/>
        <v>7.5</v>
      </c>
      <c r="L28">
        <f t="shared" si="16"/>
        <v>7.5</v>
      </c>
      <c r="M28">
        <f t="shared" si="16"/>
        <v>7.5</v>
      </c>
      <c r="N28">
        <f t="shared" si="16"/>
        <v>7.5</v>
      </c>
    </row>
    <row r="29" spans="1:14" x14ac:dyDescent="0.25">
      <c r="A29" t="s">
        <v>142</v>
      </c>
      <c r="B29" s="57">
        <v>0.6</v>
      </c>
      <c r="C29" s="57">
        <v>0.6</v>
      </c>
      <c r="D29" s="57">
        <v>0.6</v>
      </c>
      <c r="E29" s="57">
        <v>0.6</v>
      </c>
      <c r="F29" s="57">
        <v>0.6</v>
      </c>
      <c r="G29" s="57">
        <v>0.6</v>
      </c>
      <c r="H29" s="57">
        <v>0.6</v>
      </c>
      <c r="I29" s="57">
        <v>0.6</v>
      </c>
      <c r="J29" s="57">
        <v>0.6</v>
      </c>
      <c r="K29" s="57">
        <v>0.6</v>
      </c>
      <c r="L29" s="57">
        <v>0.6</v>
      </c>
      <c r="M29" s="57">
        <v>0.6</v>
      </c>
      <c r="N29" s="57">
        <v>0.6</v>
      </c>
    </row>
    <row r="30" spans="1:14" x14ac:dyDescent="0.25">
      <c r="A30" t="s">
        <v>160</v>
      </c>
      <c r="B30" s="57">
        <v>1.8</v>
      </c>
      <c r="C30" s="57">
        <v>1.8</v>
      </c>
      <c r="D30" s="57">
        <v>1.8</v>
      </c>
      <c r="E30" s="57">
        <v>1.8</v>
      </c>
      <c r="F30" s="57">
        <v>1.8</v>
      </c>
      <c r="G30" s="57">
        <v>1.8</v>
      </c>
      <c r="H30" s="57">
        <v>1.8</v>
      </c>
      <c r="I30" s="57">
        <v>1.8</v>
      </c>
      <c r="J30" s="57">
        <v>1.8</v>
      </c>
      <c r="K30" s="57">
        <v>1.8</v>
      </c>
      <c r="L30" s="57">
        <v>1.8</v>
      </c>
      <c r="M30" s="57">
        <v>1.8</v>
      </c>
      <c r="N30" s="57">
        <v>1.8</v>
      </c>
    </row>
    <row r="31" spans="1:14" x14ac:dyDescent="0.25">
      <c r="A31" t="s">
        <v>148</v>
      </c>
      <c r="B31" s="57">
        <v>3</v>
      </c>
      <c r="C31" s="57">
        <v>3</v>
      </c>
      <c r="D31" s="57">
        <v>3</v>
      </c>
      <c r="E31" s="57">
        <v>3</v>
      </c>
      <c r="F31" s="57">
        <v>3</v>
      </c>
      <c r="G31" s="57">
        <v>3</v>
      </c>
      <c r="H31" s="57">
        <v>3</v>
      </c>
      <c r="I31" s="57">
        <v>3</v>
      </c>
      <c r="J31" s="57">
        <v>3</v>
      </c>
      <c r="K31" s="57">
        <v>3</v>
      </c>
      <c r="L31" s="57">
        <v>3</v>
      </c>
      <c r="M31" s="57">
        <v>3</v>
      </c>
      <c r="N31" s="57">
        <v>3</v>
      </c>
    </row>
    <row r="34" spans="1:14" ht="30" x14ac:dyDescent="0.25">
      <c r="A34" s="39" t="s">
        <v>153</v>
      </c>
      <c r="B34">
        <v>2</v>
      </c>
      <c r="C34">
        <v>3</v>
      </c>
      <c r="D34">
        <v>4</v>
      </c>
      <c r="E34">
        <v>5</v>
      </c>
      <c r="F34">
        <v>6</v>
      </c>
      <c r="G34">
        <v>7</v>
      </c>
      <c r="H34">
        <v>8</v>
      </c>
      <c r="I34">
        <v>9</v>
      </c>
      <c r="J34">
        <v>10</v>
      </c>
      <c r="K34">
        <v>11</v>
      </c>
      <c r="L34">
        <v>12</v>
      </c>
      <c r="M34">
        <v>13</v>
      </c>
      <c r="N34">
        <v>14</v>
      </c>
    </row>
    <row r="35" spans="1:14" x14ac:dyDescent="0.25">
      <c r="A35" s="39" t="s">
        <v>51</v>
      </c>
      <c r="B35">
        <v>2012</v>
      </c>
      <c r="C35">
        <v>2013</v>
      </c>
      <c r="D35">
        <v>2014</v>
      </c>
      <c r="E35">
        <v>2015</v>
      </c>
      <c r="F35">
        <v>2016</v>
      </c>
      <c r="G35">
        <v>2017</v>
      </c>
      <c r="H35">
        <v>2018</v>
      </c>
      <c r="I35">
        <v>2019</v>
      </c>
      <c r="J35">
        <v>2020</v>
      </c>
      <c r="K35">
        <v>2021</v>
      </c>
      <c r="L35">
        <v>2022</v>
      </c>
      <c r="M35">
        <v>2023</v>
      </c>
      <c r="N35">
        <v>2024</v>
      </c>
    </row>
    <row r="36" spans="1:14" x14ac:dyDescent="0.25">
      <c r="A36" t="s">
        <v>154</v>
      </c>
      <c r="B36" s="57">
        <v>0.15</v>
      </c>
      <c r="C36" s="57">
        <v>0.15</v>
      </c>
      <c r="D36" s="57">
        <v>0.15</v>
      </c>
      <c r="E36" s="57">
        <v>0.15</v>
      </c>
      <c r="F36" s="57">
        <v>0.15</v>
      </c>
      <c r="G36" s="57">
        <v>0.15</v>
      </c>
      <c r="H36" s="57">
        <v>0.15</v>
      </c>
      <c r="I36" s="57">
        <v>0.15</v>
      </c>
      <c r="J36" s="57">
        <v>0.15</v>
      </c>
      <c r="K36" s="57">
        <v>0.15</v>
      </c>
      <c r="L36" s="57">
        <v>0.15</v>
      </c>
      <c r="M36" s="57">
        <v>0.15</v>
      </c>
      <c r="N36" s="57">
        <v>0.15</v>
      </c>
    </row>
    <row r="37" spans="1:14" x14ac:dyDescent="0.25">
      <c r="A37" t="s">
        <v>143</v>
      </c>
      <c r="B37">
        <f t="shared" ref="B37:N37" si="17">VLOOKUP($A$37,pxlingot,B34,FALSE)*B36</f>
        <v>3.75</v>
      </c>
      <c r="C37">
        <f t="shared" si="17"/>
        <v>3.75</v>
      </c>
      <c r="D37">
        <f t="shared" si="17"/>
        <v>3.75</v>
      </c>
      <c r="E37">
        <f t="shared" si="17"/>
        <v>3.75</v>
      </c>
      <c r="F37">
        <f t="shared" si="17"/>
        <v>3.75</v>
      </c>
      <c r="G37">
        <f t="shared" si="17"/>
        <v>3.75</v>
      </c>
      <c r="H37">
        <f t="shared" si="17"/>
        <v>3.75</v>
      </c>
      <c r="I37">
        <f t="shared" si="17"/>
        <v>3.75</v>
      </c>
      <c r="J37">
        <f t="shared" si="17"/>
        <v>3.75</v>
      </c>
      <c r="K37">
        <f t="shared" si="17"/>
        <v>3.75</v>
      </c>
      <c r="L37">
        <f t="shared" si="17"/>
        <v>3.75</v>
      </c>
      <c r="M37">
        <f t="shared" si="17"/>
        <v>3.75</v>
      </c>
      <c r="N37">
        <f t="shared" si="17"/>
        <v>3.75</v>
      </c>
    </row>
    <row r="38" spans="1:14" x14ac:dyDescent="0.25">
      <c r="A38" t="s">
        <v>142</v>
      </c>
      <c r="B38">
        <f>B37</f>
        <v>3.75</v>
      </c>
      <c r="C38">
        <f t="shared" ref="C38:I38" si="18">C37</f>
        <v>3.75</v>
      </c>
      <c r="D38">
        <f t="shared" si="18"/>
        <v>3.75</v>
      </c>
      <c r="E38">
        <f t="shared" si="18"/>
        <v>3.75</v>
      </c>
      <c r="F38">
        <f t="shared" si="18"/>
        <v>3.75</v>
      </c>
      <c r="G38">
        <f t="shared" si="18"/>
        <v>3.75</v>
      </c>
      <c r="H38">
        <f t="shared" si="18"/>
        <v>3.75</v>
      </c>
      <c r="I38">
        <f t="shared" si="18"/>
        <v>3.75</v>
      </c>
      <c r="J38">
        <f t="shared" ref="J38:N39" si="19">J37</f>
        <v>3.75</v>
      </c>
      <c r="K38">
        <f t="shared" si="19"/>
        <v>3.75</v>
      </c>
      <c r="L38">
        <f t="shared" si="19"/>
        <v>3.75</v>
      </c>
      <c r="M38">
        <f t="shared" si="19"/>
        <v>3.75</v>
      </c>
      <c r="N38">
        <f t="shared" si="19"/>
        <v>3.75</v>
      </c>
    </row>
    <row r="39" spans="1:14" x14ac:dyDescent="0.25">
      <c r="A39" t="s">
        <v>160</v>
      </c>
      <c r="B39">
        <f>B38</f>
        <v>3.75</v>
      </c>
      <c r="C39">
        <f t="shared" ref="C39:I39" si="20">C38</f>
        <v>3.75</v>
      </c>
      <c r="D39">
        <f t="shared" si="20"/>
        <v>3.75</v>
      </c>
      <c r="E39">
        <f t="shared" si="20"/>
        <v>3.75</v>
      </c>
      <c r="F39">
        <f t="shared" si="20"/>
        <v>3.75</v>
      </c>
      <c r="G39">
        <f t="shared" si="20"/>
        <v>3.75</v>
      </c>
      <c r="H39">
        <f t="shared" si="20"/>
        <v>3.75</v>
      </c>
      <c r="I39">
        <f t="shared" si="20"/>
        <v>3.75</v>
      </c>
      <c r="J39">
        <f t="shared" si="19"/>
        <v>3.75</v>
      </c>
      <c r="K39">
        <f t="shared" si="19"/>
        <v>3.75</v>
      </c>
      <c r="L39">
        <f t="shared" si="19"/>
        <v>3.75</v>
      </c>
      <c r="M39">
        <f t="shared" si="19"/>
        <v>3.75</v>
      </c>
      <c r="N39">
        <f t="shared" si="19"/>
        <v>3.75</v>
      </c>
    </row>
    <row r="40" spans="1:14" x14ac:dyDescent="0.25">
      <c r="A40" t="s">
        <v>148</v>
      </c>
      <c r="B40">
        <f t="shared" ref="B40:N40" si="21">B38</f>
        <v>3.75</v>
      </c>
      <c r="C40">
        <f t="shared" si="21"/>
        <v>3.75</v>
      </c>
      <c r="D40">
        <f t="shared" si="21"/>
        <v>3.75</v>
      </c>
      <c r="E40">
        <f t="shared" si="21"/>
        <v>3.75</v>
      </c>
      <c r="F40">
        <f t="shared" si="21"/>
        <v>3.75</v>
      </c>
      <c r="G40">
        <f t="shared" si="21"/>
        <v>3.75</v>
      </c>
      <c r="H40">
        <f t="shared" si="21"/>
        <v>3.75</v>
      </c>
      <c r="I40">
        <f t="shared" si="21"/>
        <v>3.75</v>
      </c>
      <c r="J40">
        <f t="shared" si="21"/>
        <v>3.75</v>
      </c>
      <c r="K40">
        <f t="shared" si="21"/>
        <v>3.75</v>
      </c>
      <c r="L40">
        <f t="shared" si="21"/>
        <v>3.75</v>
      </c>
      <c r="M40">
        <f t="shared" si="21"/>
        <v>3.75</v>
      </c>
      <c r="N40">
        <f t="shared" si="21"/>
        <v>3.75</v>
      </c>
    </row>
  </sheetData>
  <pageMargins left="0.7" right="0.7" top="0.75" bottom="0.75" header="0.3" footer="0.3"/>
  <pageSetup paperSize="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F28" sqref="F28"/>
    </sheetView>
  </sheetViews>
  <sheetFormatPr baseColWidth="10" defaultRowHeight="15" x14ac:dyDescent="0.25"/>
  <cols>
    <col min="1" max="1" width="19.5703125" customWidth="1"/>
    <col min="4" max="4" width="13.5703125" customWidth="1"/>
    <col min="5" max="5" width="10.140625" customWidth="1"/>
  </cols>
  <sheetData>
    <row r="1" spans="1:17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7" x14ac:dyDescent="0.25">
      <c r="A2" t="s">
        <v>17</v>
      </c>
      <c r="B2" t="s">
        <v>75</v>
      </c>
      <c r="C2" t="s">
        <v>189</v>
      </c>
      <c r="D2" t="s">
        <v>197</v>
      </c>
      <c r="E2">
        <v>2012</v>
      </c>
      <c r="F2">
        <v>2013</v>
      </c>
      <c r="G2">
        <v>2014</v>
      </c>
      <c r="H2">
        <v>2015</v>
      </c>
      <c r="I2">
        <v>2016</v>
      </c>
      <c r="J2">
        <v>2017</v>
      </c>
      <c r="K2">
        <v>2018</v>
      </c>
      <c r="L2">
        <v>2019</v>
      </c>
      <c r="M2">
        <v>2020</v>
      </c>
      <c r="N2">
        <v>2021</v>
      </c>
      <c r="O2">
        <v>2022</v>
      </c>
      <c r="P2">
        <v>2023</v>
      </c>
      <c r="Q2">
        <v>2024</v>
      </c>
    </row>
    <row r="3" spans="1:17" x14ac:dyDescent="0.25">
      <c r="A3" t="str">
        <f>CONCATENATE(B3,"-",C3)</f>
        <v>EcoTi-07-to massif</v>
      </c>
      <c r="B3" t="s">
        <v>190</v>
      </c>
      <c r="C3" t="s">
        <v>191</v>
      </c>
      <c r="E3" s="71">
        <v>0</v>
      </c>
      <c r="F3" s="71">
        <v>0</v>
      </c>
      <c r="G3" s="71">
        <v>0</v>
      </c>
      <c r="H3" s="71">
        <v>0</v>
      </c>
      <c r="I3" s="71">
        <v>243.99149999999997</v>
      </c>
      <c r="J3" s="71">
        <v>282.31649999999996</v>
      </c>
      <c r="K3" s="71">
        <v>298.06649999999996</v>
      </c>
      <c r="L3" s="71">
        <v>377.86649999999997</v>
      </c>
      <c r="M3" s="71">
        <v>395.19149999999996</v>
      </c>
      <c r="N3" s="71">
        <v>395.19149999999996</v>
      </c>
      <c r="O3" s="71">
        <v>395.19149999999996</v>
      </c>
      <c r="P3" s="71">
        <v>395.19149999999996</v>
      </c>
      <c r="Q3" s="71">
        <v>395.19149999999996</v>
      </c>
    </row>
    <row r="4" spans="1:17" s="69" customFormat="1" x14ac:dyDescent="0.25">
      <c r="A4" s="69" t="str">
        <f t="shared" ref="A4:A8" si="0">CONCATENATE(B4,"-",C4)</f>
        <v>EcoTi-07-ac massif</v>
      </c>
      <c r="B4" s="69" t="s">
        <v>190</v>
      </c>
      <c r="C4" s="69" t="s">
        <v>192</v>
      </c>
      <c r="D4" s="69" t="s">
        <v>142</v>
      </c>
      <c r="E4" s="74">
        <f>VLOOKUP($D4,pxmassif,E$2-2010,FALSE)</f>
        <v>1</v>
      </c>
      <c r="F4" s="74">
        <f>VLOOKUP($D4,pxmassif,F$2-2010,FALSE)</f>
        <v>1</v>
      </c>
      <c r="G4" s="74">
        <f>VLOOKUP($D4,pxmassif,G$2-2010,FALSE)</f>
        <v>1</v>
      </c>
      <c r="H4" s="74">
        <f>VLOOKUP($D4,pxmassif,H$2-2010,FALSE)</f>
        <v>1</v>
      </c>
      <c r="I4" s="74">
        <f>VLOOKUP($D4,pxmassif,I$2-2010,FALSE)</f>
        <v>1</v>
      </c>
      <c r="J4" s="74">
        <f>VLOOKUP($D4,pxmassif,J$2-2010,FALSE)</f>
        <v>1</v>
      </c>
      <c r="K4" s="74">
        <f>VLOOKUP($D4,pxmassif,K$2-2010,FALSE)</f>
        <v>1</v>
      </c>
      <c r="L4" s="74">
        <f>VLOOKUP($D4,pxmassif,L$2-2010,FALSE)</f>
        <v>1</v>
      </c>
      <c r="M4" s="74">
        <f>VLOOKUP($D4,pxmassif,M$2-2010,FALSE)</f>
        <v>1</v>
      </c>
      <c r="N4" s="74">
        <f>VLOOKUP($D4,pxmassif,N$2-2010,FALSE)</f>
        <v>1</v>
      </c>
      <c r="O4" s="74">
        <f>VLOOKUP($D4,pxmassif,O$2-2010,FALSE)</f>
        <v>1</v>
      </c>
      <c r="P4" s="74">
        <f>VLOOKUP($D4,pxmassif,P$2-2010,FALSE)</f>
        <v>1</v>
      </c>
      <c r="Q4" s="74">
        <f>VLOOKUP($D4,pxmassif,Q$2-2010,FALSE)</f>
        <v>1</v>
      </c>
    </row>
    <row r="5" spans="1:17" x14ac:dyDescent="0.25">
      <c r="A5" t="str">
        <f t="shared" si="0"/>
        <v>EcoTi-07-to copeaux</v>
      </c>
      <c r="B5" t="s">
        <v>190</v>
      </c>
      <c r="C5" t="s">
        <v>193</v>
      </c>
      <c r="E5" s="71">
        <v>0</v>
      </c>
      <c r="F5" s="71">
        <v>0</v>
      </c>
      <c r="G5" s="71">
        <v>0</v>
      </c>
      <c r="H5" s="71">
        <v>0</v>
      </c>
      <c r="I5" s="71">
        <v>181.62375</v>
      </c>
      <c r="J5" s="71">
        <v>222.04874999999998</v>
      </c>
      <c r="K5" s="71">
        <v>239.37375</v>
      </c>
      <c r="L5" s="71">
        <v>325.99874999999997</v>
      </c>
      <c r="M5" s="71">
        <v>343.32374999999996</v>
      </c>
      <c r="N5" s="71">
        <v>343.32374999999996</v>
      </c>
      <c r="O5" s="71">
        <v>343.32374999999996</v>
      </c>
      <c r="P5" s="71">
        <v>343.32374999999996</v>
      </c>
      <c r="Q5" s="71">
        <v>343.32374999999996</v>
      </c>
    </row>
    <row r="6" spans="1:17" s="69" customFormat="1" x14ac:dyDescent="0.25">
      <c r="A6" s="69" t="str">
        <f t="shared" si="0"/>
        <v>EcoTi-07-ac copeaux</v>
      </c>
      <c r="B6" s="69" t="s">
        <v>190</v>
      </c>
      <c r="C6" s="69" t="s">
        <v>194</v>
      </c>
      <c r="D6" s="69" t="s">
        <v>142</v>
      </c>
      <c r="E6" s="74">
        <f>VLOOKUP($D6,pxcopeau,E$2-2010,FALSE)</f>
        <v>0.6</v>
      </c>
      <c r="F6" s="74">
        <f>VLOOKUP($D6,pxcopeau,F$2-2010,FALSE)</f>
        <v>0.6</v>
      </c>
      <c r="G6" s="74">
        <f>VLOOKUP($D6,pxcopeau,G$2-2010,FALSE)</f>
        <v>0.6</v>
      </c>
      <c r="H6" s="74">
        <f>VLOOKUP($D6,pxcopeau,H$2-2010,FALSE)</f>
        <v>0.6</v>
      </c>
      <c r="I6" s="74">
        <f>VLOOKUP($D6,pxcopeau,I$2-2010,FALSE)</f>
        <v>0.6</v>
      </c>
      <c r="J6" s="74">
        <f>VLOOKUP($D6,pxcopeau,J$2-2010,FALSE)</f>
        <v>0.6</v>
      </c>
      <c r="K6" s="74">
        <f>VLOOKUP($D6,pxcopeau,K$2-2010,FALSE)</f>
        <v>0.6</v>
      </c>
      <c r="L6" s="74">
        <f>VLOOKUP($D6,pxcopeau,L$2-2010,FALSE)</f>
        <v>0.6</v>
      </c>
      <c r="M6" s="74">
        <f>VLOOKUP($D6,pxcopeau,M$2-2010,FALSE)</f>
        <v>0.6</v>
      </c>
      <c r="N6" s="74">
        <f>VLOOKUP($D6,pxcopeau,N$2-2010,FALSE)</f>
        <v>0.6</v>
      </c>
      <c r="O6" s="74">
        <f>VLOOKUP($D6,pxcopeau,O$2-2010,FALSE)</f>
        <v>0.6</v>
      </c>
      <c r="P6" s="74">
        <f>VLOOKUP($D6,pxcopeau,P$2-2010,FALSE)</f>
        <v>0.6</v>
      </c>
      <c r="Q6" s="74">
        <f>VLOOKUP($D6,pxcopeau,Q$2-2010,FALSE)</f>
        <v>0.6</v>
      </c>
    </row>
    <row r="7" spans="1:17" s="69" customFormat="1" x14ac:dyDescent="0.25">
      <c r="A7" s="69" t="str">
        <f t="shared" si="0"/>
        <v>EcoTi-07-to lingot</v>
      </c>
      <c r="B7" s="69" t="s">
        <v>190</v>
      </c>
      <c r="C7" s="69" t="s">
        <v>195</v>
      </c>
      <c r="D7" s="69" t="str">
        <f>VLOOKUP(B7,descmarche,21,FALSE)</f>
        <v>VAR</v>
      </c>
      <c r="E7" s="72">
        <f>E3*VLOOKUP($D7,convchutes,2,FALSE)+E5*VLOOKUP($D7,convchutes,3,FALSE)</f>
        <v>0</v>
      </c>
      <c r="F7" s="72">
        <f>F3*VLOOKUP($D7,convchutes,2,FALSE)+F5*VLOOKUP($D7,convchutes,3,FALSE)</f>
        <v>0</v>
      </c>
      <c r="G7" s="72">
        <f>G3*VLOOKUP($D7,convchutes,2,FALSE)+G5*VLOOKUP($D7,convchutes,3,FALSE)</f>
        <v>0</v>
      </c>
      <c r="H7" s="72">
        <f>H3*VLOOKUP($D7,convchutes,2,FALSE)+H5*VLOOKUP($D7,convchutes,3,FALSE)</f>
        <v>0</v>
      </c>
      <c r="I7" s="72">
        <f>I3*VLOOKUP($D7,convchutes,2,FALSE)+I5*VLOOKUP($D7,convchutes,3,FALSE)</f>
        <v>406.47481574999995</v>
      </c>
      <c r="J7" s="72">
        <f>J3*VLOOKUP($D7,convchutes,2,FALSE)+J5*VLOOKUP($D7,convchutes,3,FALSE)</f>
        <v>480.51714074999995</v>
      </c>
      <c r="K7" s="72">
        <f>K3*VLOOKUP($D7,convchutes,2,FALSE)+K5*VLOOKUP($D7,convchutes,3,FALSE)</f>
        <v>511.55566575</v>
      </c>
      <c r="L7" s="72">
        <f>L3*VLOOKUP($D7,convchutes,2,FALSE)+L5*VLOOKUP($D7,convchutes,3,FALSE)</f>
        <v>667.82769074999987</v>
      </c>
      <c r="M7" s="72">
        <f>M3*VLOOKUP($D7,convchutes,2,FALSE)+M5*VLOOKUP($D7,convchutes,3,FALSE)</f>
        <v>700.48531574999993</v>
      </c>
      <c r="N7" s="72">
        <f>N3*VLOOKUP($D7,convchutes,2,FALSE)+N5*VLOOKUP($D7,convchutes,3,FALSE)</f>
        <v>700.48531574999993</v>
      </c>
      <c r="O7" s="72">
        <f>O3*VLOOKUP($D7,convchutes,2,FALSE)+O5*VLOOKUP($D7,convchutes,3,FALSE)</f>
        <v>700.48531574999993</v>
      </c>
      <c r="P7" s="72">
        <f>P3*VLOOKUP($D7,convchutes,2,FALSE)+P5*VLOOKUP($D7,convchutes,3,FALSE)</f>
        <v>700.48531574999993</v>
      </c>
      <c r="Q7" s="72">
        <f>Q3*VLOOKUP($D7,convchutes,2,FALSE)+Q5*VLOOKUP($D7,convchutes,3,FALSE)</f>
        <v>700.48531574999993</v>
      </c>
    </row>
    <row r="8" spans="1:17" s="69" customFormat="1" x14ac:dyDescent="0.25">
      <c r="A8" s="69" t="str">
        <f t="shared" si="0"/>
        <v>EcoTi-07-px lingot</v>
      </c>
      <c r="B8" s="69" t="s">
        <v>190</v>
      </c>
      <c r="C8" s="69" t="s">
        <v>196</v>
      </c>
      <c r="D8" s="69" t="s">
        <v>142</v>
      </c>
      <c r="E8" s="74">
        <f>VLOOKUP($D8,pxlingot,E$2-2010,FALSE)</f>
        <v>15.5</v>
      </c>
      <c r="F8" s="74">
        <f>VLOOKUP($D8,pxlingot,F$2-2010,FALSE)</f>
        <v>15.5</v>
      </c>
      <c r="G8" s="74">
        <f>VLOOKUP($D8,pxlingot,G$2-2010,FALSE)</f>
        <v>15.5</v>
      </c>
      <c r="H8" s="74">
        <f>VLOOKUP($D8,pxlingot,H$2-2010,FALSE)</f>
        <v>15.5</v>
      </c>
      <c r="I8" s="74">
        <f>VLOOKUP($D8,pxlingot,I$2-2010,FALSE)</f>
        <v>15.5</v>
      </c>
      <c r="J8" s="74">
        <f>VLOOKUP($D8,pxlingot,J$2-2010,FALSE)</f>
        <v>15.5</v>
      </c>
      <c r="K8" s="74">
        <f>VLOOKUP($D8,pxlingot,K$2-2010,FALSE)</f>
        <v>15.5</v>
      </c>
      <c r="L8" s="74">
        <f>VLOOKUP($D8,pxlingot,L$2-2010,FALSE)</f>
        <v>15.5</v>
      </c>
      <c r="M8" s="74">
        <f>VLOOKUP($D8,pxlingot,M$2-2010,FALSE)</f>
        <v>15.5</v>
      </c>
      <c r="N8" s="74">
        <f>VLOOKUP($D8,pxlingot,N$2-2010,FALSE)</f>
        <v>15.5</v>
      </c>
      <c r="O8" s="74">
        <f>VLOOKUP($D8,pxlingot,O$2-2010,FALSE)</f>
        <v>15.5</v>
      </c>
      <c r="P8" s="74">
        <f>VLOOKUP($D8,pxlingot,P$2-2010,FALSE)</f>
        <v>15.5</v>
      </c>
      <c r="Q8" s="74">
        <f>VLOOKUP($D8,pxlingot,Q$2-2010,FALSE)</f>
        <v>15.5</v>
      </c>
    </row>
    <row r="9" spans="1:17" x14ac:dyDescent="0.25">
      <c r="A9" t="str">
        <f>CONCATENATE(B9,"-",C9)</f>
        <v>EcoTi-99-to massif</v>
      </c>
      <c r="B9" t="s">
        <v>198</v>
      </c>
      <c r="C9" t="s">
        <v>191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0</v>
      </c>
      <c r="Q9" s="71">
        <v>0</v>
      </c>
    </row>
    <row r="10" spans="1:17" s="69" customFormat="1" x14ac:dyDescent="0.25">
      <c r="A10" s="69" t="str">
        <f t="shared" ref="A10:A14" si="1">CONCATENATE(B10,"-",C10)</f>
        <v>EcoTi-99-ac massif</v>
      </c>
      <c r="B10" s="69" t="s">
        <v>198</v>
      </c>
      <c r="C10" s="69" t="s">
        <v>192</v>
      </c>
      <c r="D10" s="69" t="s">
        <v>142</v>
      </c>
      <c r="E10" s="74">
        <f>VLOOKUP($D10,pxmassif,E$2-2010,FALSE)</f>
        <v>1</v>
      </c>
      <c r="F10" s="74">
        <f>VLOOKUP($D10,pxmassif,F$2-2010,FALSE)</f>
        <v>1</v>
      </c>
      <c r="G10" s="74">
        <f>VLOOKUP($D10,pxmassif,G$2-2010,FALSE)</f>
        <v>1</v>
      </c>
      <c r="H10" s="74">
        <f>VLOOKUP($D10,pxmassif,H$2-2010,FALSE)</f>
        <v>1</v>
      </c>
      <c r="I10" s="74">
        <f>VLOOKUP($D10,pxmassif,I$2-2010,FALSE)</f>
        <v>1</v>
      </c>
      <c r="J10" s="74">
        <f>VLOOKUP($D10,pxmassif,J$2-2010,FALSE)</f>
        <v>1</v>
      </c>
      <c r="K10" s="74">
        <f>VLOOKUP($D10,pxmassif,K$2-2010,FALSE)</f>
        <v>1</v>
      </c>
      <c r="L10" s="74">
        <f>VLOOKUP($D10,pxmassif,L$2-2010,FALSE)</f>
        <v>1</v>
      </c>
      <c r="M10" s="74">
        <f>VLOOKUP($D10,pxmassif,M$2-2010,FALSE)</f>
        <v>1</v>
      </c>
      <c r="N10" s="74">
        <f>VLOOKUP($D10,pxmassif,N$2-2010,FALSE)</f>
        <v>1</v>
      </c>
      <c r="O10" s="74">
        <f>VLOOKUP($D10,pxmassif,O$2-2010,FALSE)</f>
        <v>1</v>
      </c>
      <c r="P10" s="74">
        <f>VLOOKUP($D10,pxmassif,P$2-2010,FALSE)</f>
        <v>1</v>
      </c>
      <c r="Q10" s="74">
        <f>VLOOKUP($D10,pxmassif,Q$2-2010,FALSE)</f>
        <v>1</v>
      </c>
    </row>
    <row r="11" spans="1:17" x14ac:dyDescent="0.25">
      <c r="A11" t="str">
        <f t="shared" si="1"/>
        <v>EcoTi-99-to copeaux</v>
      </c>
      <c r="B11" t="s">
        <v>198</v>
      </c>
      <c r="C11" t="s">
        <v>193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</row>
    <row r="12" spans="1:17" s="69" customFormat="1" x14ac:dyDescent="0.25">
      <c r="A12" s="69" t="str">
        <f t="shared" si="1"/>
        <v>EcoTi-99-ac copeaux</v>
      </c>
      <c r="B12" s="69" t="s">
        <v>198</v>
      </c>
      <c r="C12" s="69" t="s">
        <v>194</v>
      </c>
      <c r="D12" s="69" t="s">
        <v>142</v>
      </c>
      <c r="E12" s="74">
        <f>VLOOKUP($D12,pxcopeau,E$2-2010,FALSE)</f>
        <v>0.6</v>
      </c>
      <c r="F12" s="74">
        <f>VLOOKUP($D12,pxcopeau,F$2-2010,FALSE)</f>
        <v>0.6</v>
      </c>
      <c r="G12" s="74">
        <f>VLOOKUP($D12,pxcopeau,G$2-2010,FALSE)</f>
        <v>0.6</v>
      </c>
      <c r="H12" s="74">
        <f>VLOOKUP($D12,pxcopeau,H$2-2010,FALSE)</f>
        <v>0.6</v>
      </c>
      <c r="I12" s="74">
        <f>VLOOKUP($D12,pxcopeau,I$2-2010,FALSE)</f>
        <v>0.6</v>
      </c>
      <c r="J12" s="74">
        <f>VLOOKUP($D12,pxcopeau,J$2-2010,FALSE)</f>
        <v>0.6</v>
      </c>
      <c r="K12" s="74">
        <f>VLOOKUP($D12,pxcopeau,K$2-2010,FALSE)</f>
        <v>0.6</v>
      </c>
      <c r="L12" s="74">
        <f>VLOOKUP($D12,pxcopeau,L$2-2010,FALSE)</f>
        <v>0.6</v>
      </c>
      <c r="M12" s="74">
        <f>VLOOKUP($D12,pxcopeau,M$2-2010,FALSE)</f>
        <v>0.6</v>
      </c>
      <c r="N12" s="74">
        <f>VLOOKUP($D12,pxcopeau,N$2-2010,FALSE)</f>
        <v>0.6</v>
      </c>
      <c r="O12" s="74">
        <f>VLOOKUP($D12,pxcopeau,O$2-2010,FALSE)</f>
        <v>0.6</v>
      </c>
      <c r="P12" s="74">
        <f>VLOOKUP($D12,pxcopeau,P$2-2010,FALSE)</f>
        <v>0.6</v>
      </c>
      <c r="Q12" s="74">
        <f>VLOOKUP($D12,pxcopeau,Q$2-2010,FALSE)</f>
        <v>0.6</v>
      </c>
    </row>
    <row r="13" spans="1:17" s="69" customFormat="1" x14ac:dyDescent="0.25">
      <c r="A13" s="69" t="str">
        <f t="shared" si="1"/>
        <v>EcoTi-99-to lingot</v>
      </c>
      <c r="B13" s="69" t="s">
        <v>198</v>
      </c>
      <c r="C13" s="69" t="s">
        <v>195</v>
      </c>
      <c r="D13" s="73" t="s">
        <v>131</v>
      </c>
      <c r="E13" s="72">
        <f>E9*VLOOKUP($D13,convchutes,2,FALSE)+E11*VLOOKUP($D13,convchutes,3,FALSE)</f>
        <v>0</v>
      </c>
      <c r="F13" s="72">
        <f>F9*VLOOKUP($D13,convchutes,2,FALSE)+F11*VLOOKUP($D13,convchutes,3,FALSE)</f>
        <v>0</v>
      </c>
      <c r="G13" s="72">
        <f>G9*VLOOKUP($D13,convchutes,2,FALSE)+G11*VLOOKUP($D13,convchutes,3,FALSE)</f>
        <v>0</v>
      </c>
      <c r="H13" s="72">
        <f>H9*VLOOKUP($D13,convchutes,2,FALSE)+H11*VLOOKUP($D13,convchutes,3,FALSE)</f>
        <v>0</v>
      </c>
      <c r="I13" s="72">
        <f>I9*VLOOKUP($D13,convchutes,2,FALSE)+I11*VLOOKUP($D13,convchutes,3,FALSE)</f>
        <v>0</v>
      </c>
      <c r="J13" s="72">
        <f>J9*VLOOKUP($D13,convchutes,2,FALSE)+J11*VLOOKUP($D13,convchutes,3,FALSE)</f>
        <v>0</v>
      </c>
      <c r="K13" s="72">
        <f>K9*VLOOKUP($D13,convchutes,2,FALSE)+K11*VLOOKUP($D13,convchutes,3,FALSE)</f>
        <v>0</v>
      </c>
      <c r="L13" s="72">
        <f>L9*VLOOKUP($D13,convchutes,2,FALSE)+L11*VLOOKUP($D13,convchutes,3,FALSE)</f>
        <v>0</v>
      </c>
      <c r="M13" s="72">
        <f>M9*VLOOKUP($D13,convchutes,2,FALSE)+M11*VLOOKUP($D13,convchutes,3,FALSE)</f>
        <v>0</v>
      </c>
      <c r="N13" s="72">
        <f>N9*VLOOKUP($D13,convchutes,2,FALSE)+N11*VLOOKUP($D13,convchutes,3,FALSE)</f>
        <v>0</v>
      </c>
      <c r="O13" s="72">
        <f>O9*VLOOKUP($D13,convchutes,2,FALSE)+O11*VLOOKUP($D13,convchutes,3,FALSE)</f>
        <v>0</v>
      </c>
      <c r="P13" s="72">
        <f>P9*VLOOKUP($D13,convchutes,2,FALSE)+P11*VLOOKUP($D13,convchutes,3,FALSE)</f>
        <v>0</v>
      </c>
      <c r="Q13" s="72">
        <f>Q9*VLOOKUP($D13,convchutes,2,FALSE)+Q11*VLOOKUP($D13,convchutes,3,FALSE)</f>
        <v>0</v>
      </c>
    </row>
    <row r="14" spans="1:17" s="69" customFormat="1" x14ac:dyDescent="0.25">
      <c r="A14" s="69" t="str">
        <f t="shared" si="1"/>
        <v>EcoTi-99-px lingot</v>
      </c>
      <c r="B14" s="69" t="s">
        <v>198</v>
      </c>
      <c r="C14" s="69" t="s">
        <v>196</v>
      </c>
      <c r="D14" s="69" t="s">
        <v>142</v>
      </c>
      <c r="E14" s="74">
        <f>VLOOKUP($D14,pxlingot,E$2-2010,FALSE)</f>
        <v>15.5</v>
      </c>
      <c r="F14" s="74">
        <f>VLOOKUP($D14,pxlingot,F$2-2010,FALSE)</f>
        <v>15.5</v>
      </c>
      <c r="G14" s="74">
        <f>VLOOKUP($D14,pxlingot,G$2-2010,FALSE)</f>
        <v>15.5</v>
      </c>
      <c r="H14" s="74">
        <f>VLOOKUP($D14,pxlingot,H$2-2010,FALSE)</f>
        <v>15.5</v>
      </c>
      <c r="I14" s="74">
        <f>VLOOKUP($D14,pxlingot,I$2-2010,FALSE)</f>
        <v>15.5</v>
      </c>
      <c r="J14" s="74">
        <f>VLOOKUP($D14,pxlingot,J$2-2010,FALSE)</f>
        <v>15.5</v>
      </c>
      <c r="K14" s="74">
        <f>VLOOKUP($D14,pxlingot,K$2-2010,FALSE)</f>
        <v>15.5</v>
      </c>
      <c r="L14" s="74">
        <f>VLOOKUP($D14,pxlingot,L$2-2010,FALSE)</f>
        <v>15.5</v>
      </c>
      <c r="M14" s="74">
        <f>VLOOKUP($D14,pxlingot,M$2-2010,FALSE)</f>
        <v>15.5</v>
      </c>
      <c r="N14" s="74">
        <f>VLOOKUP($D14,pxlingot,N$2-2010,FALSE)</f>
        <v>15.5</v>
      </c>
      <c r="O14" s="74">
        <f>VLOOKUP($D14,pxlingot,O$2-2010,FALSE)</f>
        <v>15.5</v>
      </c>
      <c r="P14" s="74">
        <f>VLOOKUP($D14,pxlingot,P$2-2010,FALSE)</f>
        <v>15.5</v>
      </c>
      <c r="Q14" s="74">
        <f>VLOOKUP($D14,pxlingot,Q$2-2010,FALSE)</f>
        <v>15.5</v>
      </c>
    </row>
  </sheetData>
  <pageMargins left="0.7" right="0.7" top="0.75" bottom="0.75" header="0.3" footer="0.3"/>
  <pageSetup paperSize="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0"/>
  <sheetViews>
    <sheetView topLeftCell="A2" workbookViewId="0">
      <pane ySplit="2070" activePane="bottomLeft"/>
      <selection activeCell="BB3" sqref="BB3"/>
      <selection pane="bottomLeft" activeCell="AJ10" sqref="AJ10"/>
    </sheetView>
  </sheetViews>
  <sheetFormatPr baseColWidth="10" defaultRowHeight="15" x14ac:dyDescent="0.25"/>
  <cols>
    <col min="1" max="1" width="12.85546875" customWidth="1"/>
    <col min="2" max="2" width="5.7109375" customWidth="1"/>
    <col min="4" max="4" width="7" customWidth="1"/>
    <col min="5" max="5" width="9.28515625" customWidth="1"/>
    <col min="6" max="6" width="24.140625" customWidth="1"/>
    <col min="7" max="7" width="41.85546875" customWidth="1"/>
    <col min="8" max="8" width="15.5703125" customWidth="1"/>
    <col min="9" max="10" width="15.7109375" customWidth="1"/>
    <col min="12" max="12" width="10.85546875" customWidth="1"/>
    <col min="13" max="13" width="10.42578125" customWidth="1"/>
    <col min="18" max="18" width="13.7109375" customWidth="1"/>
    <col min="24" max="24" width="13.5703125" customWidth="1"/>
    <col min="37" max="37" width="14.28515625" customWidth="1"/>
    <col min="38" max="38" width="15.85546875" customWidth="1"/>
    <col min="39" max="39" width="11.42578125" customWidth="1"/>
    <col min="40" max="40" width="13.28515625" customWidth="1"/>
    <col min="43" max="45" width="14.28515625" customWidth="1"/>
    <col min="46" max="46" width="13.42578125" customWidth="1"/>
    <col min="49" max="49" width="16.42578125" customWidth="1"/>
    <col min="50" max="51" width="13" customWidth="1"/>
    <col min="52" max="52" width="18.7109375" customWidth="1"/>
    <col min="53" max="54" width="15.85546875" customWidth="1"/>
  </cols>
  <sheetData>
    <row r="1" spans="1:55" x14ac:dyDescent="0.25">
      <c r="M1" s="56" t="s">
        <v>13</v>
      </c>
      <c r="N1" s="56"/>
      <c r="O1" s="56"/>
      <c r="P1" s="53"/>
      <c r="Q1" s="53"/>
      <c r="R1" s="25"/>
      <c r="S1" s="56" t="s">
        <v>14</v>
      </c>
      <c r="T1" s="56"/>
      <c r="U1" s="56"/>
      <c r="V1" s="53"/>
      <c r="W1" s="53"/>
      <c r="X1" s="25"/>
      <c r="Y1" s="26" t="s">
        <v>15</v>
      </c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</row>
    <row r="2" spans="1:55" ht="60" x14ac:dyDescent="0.25">
      <c r="A2" t="s">
        <v>40</v>
      </c>
      <c r="B2" t="s">
        <v>41</v>
      </c>
      <c r="C2" t="s">
        <v>17</v>
      </c>
      <c r="D2" t="s">
        <v>51</v>
      </c>
      <c r="E2" s="1" t="s">
        <v>65</v>
      </c>
      <c r="F2" s="1" t="s">
        <v>0</v>
      </c>
      <c r="G2" s="1" t="s">
        <v>1</v>
      </c>
      <c r="H2" s="1" t="s">
        <v>105</v>
      </c>
      <c r="I2" s="1" t="s">
        <v>27</v>
      </c>
      <c r="J2" s="1" t="s">
        <v>106</v>
      </c>
      <c r="K2" s="1" t="s">
        <v>2</v>
      </c>
      <c r="L2" s="1" t="s">
        <v>205</v>
      </c>
      <c r="M2" s="1" t="s">
        <v>6</v>
      </c>
      <c r="N2" s="1" t="s">
        <v>4</v>
      </c>
      <c r="O2" s="1" t="s">
        <v>5</v>
      </c>
      <c r="P2" s="1" t="s">
        <v>209</v>
      </c>
      <c r="Q2" s="1" t="s">
        <v>210</v>
      </c>
      <c r="R2" s="1" t="s">
        <v>155</v>
      </c>
      <c r="S2" s="1" t="s">
        <v>7</v>
      </c>
      <c r="T2" s="1" t="s">
        <v>9</v>
      </c>
      <c r="U2" s="1" t="s">
        <v>8</v>
      </c>
      <c r="V2" s="1" t="s">
        <v>211</v>
      </c>
      <c r="W2" s="1" t="s">
        <v>212</v>
      </c>
      <c r="X2" s="1" t="s">
        <v>156</v>
      </c>
      <c r="Y2" s="1" t="s">
        <v>10</v>
      </c>
      <c r="Z2" s="1" t="s">
        <v>11</v>
      </c>
      <c r="AA2" s="1" t="s">
        <v>12</v>
      </c>
      <c r="AB2" s="1" t="s">
        <v>213</v>
      </c>
      <c r="AC2" s="1" t="s">
        <v>214</v>
      </c>
      <c r="AD2" s="1" t="s">
        <v>110</v>
      </c>
      <c r="AE2" s="1" t="s">
        <v>111</v>
      </c>
      <c r="AF2" s="1" t="s">
        <v>112</v>
      </c>
      <c r="AG2" s="1" t="s">
        <v>113</v>
      </c>
      <c r="AH2" s="1" t="s">
        <v>114</v>
      </c>
      <c r="AI2" s="1" t="s">
        <v>167</v>
      </c>
      <c r="AJ2" s="1" t="s">
        <v>108</v>
      </c>
      <c r="AK2" s="1" t="s">
        <v>157</v>
      </c>
      <c r="AL2" s="1" t="s">
        <v>158</v>
      </c>
      <c r="AM2" s="1" t="s">
        <v>220</v>
      </c>
      <c r="AN2" s="1" t="s">
        <v>199</v>
      </c>
      <c r="AO2" s="1" t="s">
        <v>161</v>
      </c>
      <c r="AP2" s="1" t="s">
        <v>215</v>
      </c>
      <c r="AQ2" s="1" t="s">
        <v>216</v>
      </c>
      <c r="AR2" s="1" t="s">
        <v>219</v>
      </c>
      <c r="AS2" s="1" t="s">
        <v>217</v>
      </c>
      <c r="AT2" s="1" t="s">
        <v>218</v>
      </c>
      <c r="AU2" s="1" t="s">
        <v>188</v>
      </c>
      <c r="AV2" s="1" t="s">
        <v>200</v>
      </c>
      <c r="AW2" s="1" t="s">
        <v>203</v>
      </c>
      <c r="AX2" s="1" t="s">
        <v>204</v>
      </c>
      <c r="AY2" s="1" t="s">
        <v>186</v>
      </c>
      <c r="AZ2" s="1" t="s">
        <v>176</v>
      </c>
      <c r="BA2" s="1" t="s">
        <v>187</v>
      </c>
      <c r="BB2" s="1" t="s">
        <v>231</v>
      </c>
      <c r="BC2" s="1" t="s">
        <v>161</v>
      </c>
    </row>
    <row r="3" spans="1:55" x14ac:dyDescent="0.25">
      <c r="A3" t="s">
        <v>16</v>
      </c>
      <c r="B3" s="4" t="s">
        <v>42</v>
      </c>
      <c r="C3" t="str">
        <f t="shared" ref="C3:C8" si="0">CONCATENATE(A3,"-",B3)</f>
        <v>UKTMP-01</v>
      </c>
      <c r="D3">
        <v>2012</v>
      </c>
      <c r="E3">
        <v>206</v>
      </c>
      <c r="F3" t="str">
        <f t="shared" ref="F3:F66" si="1">VLOOKUP($C3,descmarche,4,FALSE)</f>
        <v>Airbus pour AD</v>
      </c>
      <c r="G3" t="str">
        <f t="shared" ref="G3:G34" si="2">VLOOKUP($C3,descmarche,5,FALSE)</f>
        <v>Contrat Airbus pour AD</v>
      </c>
      <c r="H3" t="str">
        <f t="shared" ref="H3:H34" si="3">VLOOKUP($C3,descmarche,6,FALSE)</f>
        <v>Structure</v>
      </c>
      <c r="I3">
        <f t="shared" ref="I3:I34" si="4">VLOOKUP($C3,descmarche,7,FALSE)</f>
        <v>5</v>
      </c>
      <c r="J3">
        <f t="shared" ref="J3:J34" si="5">VLOOKUP($C3,descmarche,9,FALSE)*1000</f>
        <v>1210</v>
      </c>
      <c r="K3">
        <f t="shared" ref="K3:K34" si="6">VLOOKUP($C3,descmarche,10,FALSE)*$E3</f>
        <v>206</v>
      </c>
      <c r="L3">
        <f t="shared" ref="L3:L34" si="7">VLOOKUP($C3,descmarche,11,FALSE)*$E3</f>
        <v>249.26</v>
      </c>
      <c r="M3">
        <f t="shared" ref="M3:M34" si="8">VLOOKUP($C3,descmarche,12,FALSE)*$E3*VLOOKUP("UKAD",recupchute,2,FALSE)</f>
        <v>10.814999999999998</v>
      </c>
      <c r="N3">
        <f t="shared" ref="N3:N34" si="9">VLOOKUP($C3,descmarche,13,FALSE)*$E3*VLOOKUP("UKAD",recupchute,3,FALSE)</f>
        <v>11.8965</v>
      </c>
      <c r="O3" t="str">
        <f t="shared" ref="O3:O34" si="10">VLOOKUP($C3,descmarche,14,FALSE)</f>
        <v>Marché 1</v>
      </c>
      <c r="P3">
        <f>VLOOKUP(O3,pxmassif,D3-2010,FALSE)*M3</f>
        <v>135.18749999999997</v>
      </c>
      <c r="Q3">
        <f>VLOOKUP(O3,pxcopeau,D3-2010,FALSE)*N3</f>
        <v>89.223749999999995</v>
      </c>
      <c r="R3" t="str">
        <f t="shared" ref="R3:R34" si="11">VLOOKUP(C3,descmarche,22,FALSE)</f>
        <v>AD PAMIERS</v>
      </c>
      <c r="S3">
        <f t="shared" ref="S3:S34" si="12">VLOOKUP($C3,descmarche,15,FALSE)*$E3*VLOOKUP(R3,recupchute,2,FALSE)</f>
        <v>25.440999999999999</v>
      </c>
      <c r="T3">
        <f t="shared" ref="T3:T34" si="13">VLOOKUP($C3,descmarche,16,FALSE)*$E3*VLOOKUP(R3,recupchute,3,FALSE)</f>
        <v>6.6743999999999994</v>
      </c>
      <c r="U3" t="str">
        <f t="shared" ref="U3:U34" si="14">VLOOKUP($C3,descmarche,17,FALSE)</f>
        <v>Marché 1</v>
      </c>
      <c r="V3">
        <f>VLOOKUP(U3,pxmassif,$D3-2010,FALSE)*S3</f>
        <v>318.01249999999999</v>
      </c>
      <c r="W3">
        <f>VLOOKUP(U3,pxcopeau,$D3-2010,FALSE)*T3</f>
        <v>50.057999999999993</v>
      </c>
      <c r="X3" t="str">
        <f t="shared" ref="X3:X34" si="15">VLOOKUP(C3,descmarche,23,FALSE)</f>
        <v>SO</v>
      </c>
      <c r="Y3">
        <f t="shared" ref="Y3:Y34" si="16">VLOOKUP($C3,descmarche,18,FALSE)*$E3*VLOOKUP(X3,recupchute,2,FALSE)</f>
        <v>0</v>
      </c>
      <c r="Z3">
        <f t="shared" ref="Z3:Z34" si="17">VLOOKUP($C3,descmarche,19,FALSE)*$E3*VLOOKUP(X3,recupchute,3,FALSE)</f>
        <v>0</v>
      </c>
      <c r="AA3" t="str">
        <f t="shared" ref="AA3:AA34" si="18">VLOOKUP($C3,descmarche,20,FALSE)</f>
        <v>Marché 1</v>
      </c>
      <c r="AB3">
        <f>VLOOKUP(AA3,pxmassif,$D3-2010,FALSE)*Y3</f>
        <v>0</v>
      </c>
      <c r="AC3">
        <f>VLOOKUP(AA3,pxcopeau,$D3-2010,FALSE)*Z3</f>
        <v>0</v>
      </c>
      <c r="AD3">
        <f>M3+S3</f>
        <v>36.256</v>
      </c>
      <c r="AE3">
        <f>N3+T3</f>
        <v>18.570899999999998</v>
      </c>
      <c r="AF3">
        <f>M3+N3</f>
        <v>22.711499999999997</v>
      </c>
      <c r="AG3">
        <f>S3+T3</f>
        <v>32.115400000000001</v>
      </c>
      <c r="AH3">
        <f>Y3+Z3</f>
        <v>0</v>
      </c>
      <c r="AI3">
        <f>M3+S3+Y3</f>
        <v>36.256</v>
      </c>
      <c r="AJ3">
        <f>N3+T3+Z3</f>
        <v>18.570899999999998</v>
      </c>
      <c r="AK3">
        <f t="shared" ref="AK3:AK34" si="19">VLOOKUP(C3,descmarche,26,FALSE)*E3</f>
        <v>53.1864293</v>
      </c>
      <c r="AL3">
        <f t="shared" ref="AL3:AL34" si="20">IF(A3="EcoTI",VLOOKUP(C3,descmarche,27,FALSE)*E3,0)</f>
        <v>0</v>
      </c>
      <c r="AM3">
        <f>IFERROR(MIN(AL3,VLOOKUP(CONCATENATE(C3,"-to lingot"),negchutes,D3-2007,FALSE)),0)</f>
        <v>0</v>
      </c>
      <c r="AN3">
        <f>AL3-AM3</f>
        <v>0</v>
      </c>
      <c r="AO3" t="s">
        <v>121</v>
      </c>
      <c r="AP3">
        <f>IF(AR3=0,0,IFERROR(VLOOKUP(CONCATENATE($C3,"-to massif"),negchutes,$D3-2007,FALSE),0)*AM3/AR3)</f>
        <v>0</v>
      </c>
      <c r="AQ3">
        <f>IF(AR3=0,0,IFERROR(VLOOKUP(CONCATENATE($C3,"-to copeaux"),negchutes,$D3-2007,FALSE),0)*AM3/AR3)</f>
        <v>0</v>
      </c>
      <c r="AR3">
        <f>IFERROR(VLOOKUP(CONCATENATE($C3,"-to lingot"),negchutes,$D3-2007,FALSE),0)</f>
        <v>0</v>
      </c>
      <c r="AS3">
        <f>IF(AR3=0,0,AP3*VLOOKUP(CONCATENATE($C3,"-ac massif"),negchutes,$D3-2007,FALSE))</f>
        <v>0</v>
      </c>
      <c r="AT3">
        <f>IF(AR3=0,0,AQ3*VLOOKUP(CONCATENATE($C3,"-ac copeaux"),negchutes,$D3-2007,FALSE))</f>
        <v>0</v>
      </c>
      <c r="AU3">
        <f t="shared" ref="AU3:AU34" si="21">AK3*VLOOKUP(AO3,pxlingot,D3-2010,FALSE)</f>
        <v>0</v>
      </c>
      <c r="AV3">
        <f>IFERROR(VLOOKUP(CONCATENATE(C3,"-px lingot"),negchutes,D3-2007,FALSE),0)*AM3</f>
        <v>0</v>
      </c>
      <c r="AW3">
        <f>AN3*VLOOKUP("Marché 1",pxlingot,D3-2010,FALSE)</f>
        <v>0</v>
      </c>
      <c r="AX3">
        <f>IF((AK3+AL3)=0,0,(AU3+AV3+AW3)/(AK3+AL3))</f>
        <v>0</v>
      </c>
      <c r="AY3" t="str">
        <f t="shared" ref="AY3:AY34" si="22">VLOOKUP(C3,descmarche,21,FALSE)</f>
        <v>VAR</v>
      </c>
      <c r="AZ3">
        <f t="shared" ref="AZ3:AZ34" si="23">M3*VLOOKUP(AY3,convchutes,2,FALSE)+N3*VLOOKUP(AY3,convchutes,3,FALSE)</f>
        <v>21.313120499999997</v>
      </c>
      <c r="BA3">
        <f>MAX(VLOOKUP(VLOOKUP(C3,descmarche,28,FALSE),pxlingot,D3-2010,FALSE),AX3)</f>
        <v>0</v>
      </c>
      <c r="BB3">
        <f>BA3*L3</f>
        <v>0</v>
      </c>
      <c r="BC3" t="str">
        <f t="shared" ref="BC3:BC34" si="24">VLOOKUP(C3,descmarche,28,FALSE)</f>
        <v>SO</v>
      </c>
    </row>
    <row r="4" spans="1:55" x14ac:dyDescent="0.25">
      <c r="A4" t="s">
        <v>16</v>
      </c>
      <c r="B4" s="4" t="s">
        <v>42</v>
      </c>
      <c r="C4" t="str">
        <f t="shared" si="0"/>
        <v>UKTMP-01</v>
      </c>
      <c r="D4">
        <v>2013</v>
      </c>
      <c r="E4">
        <v>1417</v>
      </c>
      <c r="F4" t="str">
        <f t="shared" si="1"/>
        <v>Airbus pour AD</v>
      </c>
      <c r="G4" t="str">
        <f t="shared" si="2"/>
        <v>Contrat Airbus pour AD</v>
      </c>
      <c r="H4" t="str">
        <f t="shared" si="3"/>
        <v>Structure</v>
      </c>
      <c r="I4">
        <f t="shared" si="4"/>
        <v>5</v>
      </c>
      <c r="J4">
        <f t="shared" si="5"/>
        <v>1210</v>
      </c>
      <c r="K4">
        <f t="shared" si="6"/>
        <v>1417</v>
      </c>
      <c r="L4">
        <f t="shared" si="7"/>
        <v>1714.57</v>
      </c>
      <c r="M4">
        <f t="shared" si="8"/>
        <v>74.392499999999984</v>
      </c>
      <c r="N4">
        <f t="shared" si="9"/>
        <v>81.83175</v>
      </c>
      <c r="O4" t="str">
        <f t="shared" si="10"/>
        <v>Marché 1</v>
      </c>
      <c r="P4">
        <f>VLOOKUP(O4,pxmassif,D4-2010,FALSE)*M4</f>
        <v>929.90624999999977</v>
      </c>
      <c r="Q4">
        <f>VLOOKUP(O4,pxcopeau,D4-2010,FALSE)*N4</f>
        <v>613.73812499999997</v>
      </c>
      <c r="R4" t="str">
        <f t="shared" si="11"/>
        <v>AD PAMIERS</v>
      </c>
      <c r="S4">
        <f t="shared" si="12"/>
        <v>174.99950000000001</v>
      </c>
      <c r="T4">
        <f t="shared" si="13"/>
        <v>45.910799999999995</v>
      </c>
      <c r="U4" t="str">
        <f t="shared" si="14"/>
        <v>Marché 1</v>
      </c>
      <c r="V4">
        <f>VLOOKUP(U4,pxmassif,$D4-2010,FALSE)*S4</f>
        <v>2187.4937500000001</v>
      </c>
      <c r="W4">
        <f>VLOOKUP(U4,pxcopeau,$D4-2010,FALSE)*T4</f>
        <v>344.33099999999996</v>
      </c>
      <c r="X4" t="str">
        <f t="shared" si="15"/>
        <v>SO</v>
      </c>
      <c r="Y4">
        <f t="shared" si="16"/>
        <v>0</v>
      </c>
      <c r="Z4">
        <f t="shared" si="17"/>
        <v>0</v>
      </c>
      <c r="AA4" t="str">
        <f t="shared" si="18"/>
        <v>Marché 1</v>
      </c>
      <c r="AB4">
        <f>VLOOKUP(AA4,pxmassif,$D4-2010,FALSE)*Y4</f>
        <v>0</v>
      </c>
      <c r="AC4">
        <f>VLOOKUP(AA4,pxcopeau,$D4-2010,FALSE)*Z4</f>
        <v>0</v>
      </c>
      <c r="AD4">
        <f t="shared" ref="AD4:AD67" si="25">M4+S4</f>
        <v>249.392</v>
      </c>
      <c r="AE4">
        <f t="shared" ref="AE4:AE67" si="26">N4+T4</f>
        <v>127.74254999999999</v>
      </c>
      <c r="AF4">
        <f t="shared" ref="AF4:AF67" si="27">M4+N4</f>
        <v>156.22424999999998</v>
      </c>
      <c r="AG4">
        <f t="shared" ref="AG4:AG67" si="28">S4+T4</f>
        <v>220.91030000000001</v>
      </c>
      <c r="AH4">
        <f t="shared" ref="AH4:AH67" si="29">Y4+Z4</f>
        <v>0</v>
      </c>
      <c r="AI4">
        <f t="shared" ref="AI4:AI67" si="30">M4+S4+Y4</f>
        <v>249.392</v>
      </c>
      <c r="AJ4">
        <f t="shared" ref="AJ4:AJ67" si="31">N4+T4+Z4</f>
        <v>127.74254999999999</v>
      </c>
      <c r="AK4">
        <f t="shared" si="19"/>
        <v>365.85034135000001</v>
      </c>
      <c r="AL4">
        <f t="shared" si="20"/>
        <v>0</v>
      </c>
      <c r="AM4">
        <f>IFERROR(MIN(AL4,VLOOKUP(CONCATENATE(C4,"-to lingot"),negchutes,D4-2007,FALSE)),0)</f>
        <v>0</v>
      </c>
      <c r="AN4">
        <f t="shared" ref="AN4:AN67" si="32">AL4-AM4</f>
        <v>0</v>
      </c>
      <c r="AO4" t="str">
        <f t="shared" ref="AO4:AO35" si="33">VLOOKUP(C4,descmarche,28,FALSE)</f>
        <v>SO</v>
      </c>
      <c r="AP4">
        <f>IF(AR4=0,0,IFERROR(VLOOKUP(CONCATENATE($C4,"-to massif"),negchutes,$D4-2007,FALSE),0)*AM4/AR4)</f>
        <v>0</v>
      </c>
      <c r="AQ4">
        <f>IF(AR4=0,0,IFERROR(VLOOKUP(CONCATENATE($C4,"-to copeaux"),negchutes,$D4-2007,FALSE),0)*AM4/AR4)</f>
        <v>0</v>
      </c>
      <c r="AR4">
        <f>IFERROR(VLOOKUP(CONCATENATE($C4,"-to lingot"),negchutes,$D4-2007,FALSE),0)</f>
        <v>0</v>
      </c>
      <c r="AS4">
        <f>IF(AR4=0,0,AP4*VLOOKUP(CONCATENATE($C4,"-ac massif"),negchutes,$D4-2007,FALSE))</f>
        <v>0</v>
      </c>
      <c r="AT4">
        <f>IF(AR4=0,0,AQ4*VLOOKUP(CONCATENATE($C4,"-ac copeaux"),negchutes,$D4-2007,FALSE))</f>
        <v>0</v>
      </c>
      <c r="AU4">
        <f t="shared" si="21"/>
        <v>0</v>
      </c>
      <c r="AV4">
        <f>IFERROR(VLOOKUP(CONCATENATE(C4,"-px lingot"),negchutes,D4-2007,FALSE),0)*AM4</f>
        <v>0</v>
      </c>
      <c r="AW4">
        <f>AN4*VLOOKUP("Marché 1",pxlingot,D4-2010,FALSE)</f>
        <v>0</v>
      </c>
      <c r="AX4">
        <f t="shared" ref="AX4:AX67" si="34">IF((AK4+AL4)=0,0,(AU4+AV4+AW4)/(AK4+AL4))</f>
        <v>0</v>
      </c>
      <c r="AY4" t="str">
        <f t="shared" si="22"/>
        <v>VAR</v>
      </c>
      <c r="AZ4">
        <f t="shared" si="23"/>
        <v>146.60529974999997</v>
      </c>
      <c r="BA4">
        <f>MAX(VLOOKUP(VLOOKUP(C4,descmarche,28,FALSE),pxlingot,D4-2010,FALSE),AX4)</f>
        <v>0</v>
      </c>
      <c r="BB4">
        <f t="shared" ref="BB4:BB67" si="35">BA4*L4</f>
        <v>0</v>
      </c>
      <c r="BC4" t="str">
        <f t="shared" si="24"/>
        <v>SO</v>
      </c>
    </row>
    <row r="5" spans="1:55" x14ac:dyDescent="0.25">
      <c r="A5" t="s">
        <v>16</v>
      </c>
      <c r="B5" s="4" t="s">
        <v>42</v>
      </c>
      <c r="C5" t="str">
        <f t="shared" si="0"/>
        <v>UKTMP-01</v>
      </c>
      <c r="D5">
        <v>2014</v>
      </c>
      <c r="E5">
        <v>1766</v>
      </c>
      <c r="F5" t="str">
        <f t="shared" si="1"/>
        <v>Airbus pour AD</v>
      </c>
      <c r="G5" t="str">
        <f t="shared" si="2"/>
        <v>Contrat Airbus pour AD</v>
      </c>
      <c r="H5" t="str">
        <f t="shared" si="3"/>
        <v>Structure</v>
      </c>
      <c r="I5">
        <f t="shared" si="4"/>
        <v>5</v>
      </c>
      <c r="J5">
        <f t="shared" si="5"/>
        <v>1210</v>
      </c>
      <c r="K5">
        <f t="shared" si="6"/>
        <v>1766</v>
      </c>
      <c r="L5">
        <f t="shared" si="7"/>
        <v>2136.86</v>
      </c>
      <c r="M5">
        <f t="shared" si="8"/>
        <v>92.714999999999989</v>
      </c>
      <c r="N5">
        <f t="shared" si="9"/>
        <v>101.98649999999999</v>
      </c>
      <c r="O5" t="str">
        <f t="shared" si="10"/>
        <v>Marché 1</v>
      </c>
      <c r="P5">
        <f>VLOOKUP(O5,pxmassif,D5-2010,FALSE)*M5</f>
        <v>1158.9374999999998</v>
      </c>
      <c r="Q5">
        <f>VLOOKUP(O5,pxcopeau,D5-2010,FALSE)*N5</f>
        <v>764.89874999999995</v>
      </c>
      <c r="R5" t="str">
        <f t="shared" si="11"/>
        <v>AD PAMIERS</v>
      </c>
      <c r="S5">
        <f t="shared" si="12"/>
        <v>218.101</v>
      </c>
      <c r="T5">
        <f t="shared" si="13"/>
        <v>57.218399999999995</v>
      </c>
      <c r="U5" t="str">
        <f t="shared" si="14"/>
        <v>Marché 1</v>
      </c>
      <c r="V5">
        <f>VLOOKUP(U5,pxmassif,$D5-2010,FALSE)*S5</f>
        <v>2726.2624999999998</v>
      </c>
      <c r="W5">
        <f>VLOOKUP(U5,pxcopeau,$D5-2010,FALSE)*T5</f>
        <v>429.13799999999998</v>
      </c>
      <c r="X5" t="str">
        <f t="shared" si="15"/>
        <v>SO</v>
      </c>
      <c r="Y5">
        <f t="shared" si="16"/>
        <v>0</v>
      </c>
      <c r="Z5">
        <f t="shared" si="17"/>
        <v>0</v>
      </c>
      <c r="AA5" t="str">
        <f t="shared" si="18"/>
        <v>Marché 1</v>
      </c>
      <c r="AB5">
        <f>VLOOKUP(AA5,pxmassif,$D5-2010,FALSE)*Y5</f>
        <v>0</v>
      </c>
      <c r="AC5">
        <f>VLOOKUP(AA5,pxcopeau,$D5-2010,FALSE)*Z5</f>
        <v>0</v>
      </c>
      <c r="AD5">
        <f t="shared" si="25"/>
        <v>310.81599999999997</v>
      </c>
      <c r="AE5">
        <f t="shared" si="26"/>
        <v>159.20489999999998</v>
      </c>
      <c r="AF5">
        <f t="shared" si="27"/>
        <v>194.70149999999998</v>
      </c>
      <c r="AG5">
        <f t="shared" si="28"/>
        <v>275.31939999999997</v>
      </c>
      <c r="AH5">
        <f t="shared" si="29"/>
        <v>0</v>
      </c>
      <c r="AI5">
        <f t="shared" si="30"/>
        <v>310.81599999999997</v>
      </c>
      <c r="AJ5">
        <f t="shared" si="31"/>
        <v>159.20489999999998</v>
      </c>
      <c r="AK5">
        <f t="shared" si="19"/>
        <v>455.95744730000001</v>
      </c>
      <c r="AL5">
        <f t="shared" si="20"/>
        <v>0</v>
      </c>
      <c r="AM5">
        <f>IFERROR(MIN(AL5,VLOOKUP(CONCATENATE(C5,"-to lingot"),negchutes,D5-2007,FALSE)),0)</f>
        <v>0</v>
      </c>
      <c r="AN5">
        <f t="shared" si="32"/>
        <v>0</v>
      </c>
      <c r="AO5" t="str">
        <f t="shared" si="33"/>
        <v>SO</v>
      </c>
      <c r="AP5">
        <f>IF(AR5=0,0,IFERROR(VLOOKUP(CONCATENATE($C5,"-to massif"),negchutes,$D5-2007,FALSE),0)*AM5/AR5)</f>
        <v>0</v>
      </c>
      <c r="AQ5">
        <f>IF(AR5=0,0,IFERROR(VLOOKUP(CONCATENATE($C5,"-to copeaux"),negchutes,$D5-2007,FALSE),0)*AM5/AR5)</f>
        <v>0</v>
      </c>
      <c r="AR5">
        <f>IFERROR(VLOOKUP(CONCATENATE($C5,"-to lingot"),negchutes,$D5-2007,FALSE),0)</f>
        <v>0</v>
      </c>
      <c r="AS5">
        <f>IF(AR5=0,0,AP5*VLOOKUP(CONCATENATE($C5,"-ac massif"),negchutes,$D5-2007,FALSE))</f>
        <v>0</v>
      </c>
      <c r="AT5">
        <f>IF(AR5=0,0,AQ5*VLOOKUP(CONCATENATE($C5,"-ac copeaux"),negchutes,$D5-2007,FALSE))</f>
        <v>0</v>
      </c>
      <c r="AU5">
        <f t="shared" si="21"/>
        <v>0</v>
      </c>
      <c r="AV5">
        <f>IFERROR(VLOOKUP(CONCATENATE(C5,"-px lingot"),negchutes,D5-2007,FALSE),0)*AM5</f>
        <v>0</v>
      </c>
      <c r="AW5">
        <f>AN5*VLOOKUP("Marché 1",pxlingot,D5-2010,FALSE)</f>
        <v>0</v>
      </c>
      <c r="AX5">
        <f t="shared" si="34"/>
        <v>0</v>
      </c>
      <c r="AY5" t="str">
        <f t="shared" si="22"/>
        <v>VAR</v>
      </c>
      <c r="AZ5">
        <f t="shared" si="23"/>
        <v>182.71345049999996</v>
      </c>
      <c r="BA5">
        <f>MAX(VLOOKUP(VLOOKUP(C5,descmarche,28,FALSE),pxlingot,D5-2010,FALSE),AX5)</f>
        <v>0</v>
      </c>
      <c r="BB5">
        <f t="shared" si="35"/>
        <v>0</v>
      </c>
      <c r="BC5" t="str">
        <f t="shared" si="24"/>
        <v>SO</v>
      </c>
    </row>
    <row r="6" spans="1:55" x14ac:dyDescent="0.25">
      <c r="A6" t="s">
        <v>16</v>
      </c>
      <c r="B6" s="4" t="s">
        <v>42</v>
      </c>
      <c r="C6" t="str">
        <f t="shared" si="0"/>
        <v>UKTMP-01</v>
      </c>
      <c r="D6">
        <v>2015</v>
      </c>
      <c r="E6">
        <v>2125</v>
      </c>
      <c r="F6" t="str">
        <f t="shared" si="1"/>
        <v>Airbus pour AD</v>
      </c>
      <c r="G6" t="str">
        <f t="shared" si="2"/>
        <v>Contrat Airbus pour AD</v>
      </c>
      <c r="H6" t="str">
        <f t="shared" si="3"/>
        <v>Structure</v>
      </c>
      <c r="I6">
        <f t="shared" si="4"/>
        <v>5</v>
      </c>
      <c r="J6">
        <f t="shared" si="5"/>
        <v>1210</v>
      </c>
      <c r="K6">
        <f t="shared" si="6"/>
        <v>2125</v>
      </c>
      <c r="L6">
        <f t="shared" si="7"/>
        <v>2571.25</v>
      </c>
      <c r="M6">
        <f t="shared" si="8"/>
        <v>111.56249999999999</v>
      </c>
      <c r="N6">
        <f t="shared" si="9"/>
        <v>122.71874999999999</v>
      </c>
      <c r="O6" t="str">
        <f t="shared" si="10"/>
        <v>Marché 1</v>
      </c>
      <c r="P6">
        <f>VLOOKUP(O6,pxmassif,D6-2010,FALSE)*M6</f>
        <v>1394.5312499999998</v>
      </c>
      <c r="Q6">
        <f>VLOOKUP(O6,pxcopeau,D6-2010,FALSE)*N6</f>
        <v>920.39062499999989</v>
      </c>
      <c r="R6" t="str">
        <f t="shared" si="11"/>
        <v>AD PAMIERS</v>
      </c>
      <c r="S6">
        <f t="shared" si="12"/>
        <v>262.4375</v>
      </c>
      <c r="T6">
        <f t="shared" si="13"/>
        <v>68.850000000000009</v>
      </c>
      <c r="U6" t="str">
        <f t="shared" si="14"/>
        <v>Marché 1</v>
      </c>
      <c r="V6">
        <f>VLOOKUP(U6,pxmassif,$D6-2010,FALSE)*S6</f>
        <v>3280.46875</v>
      </c>
      <c r="W6">
        <f>VLOOKUP(U6,pxcopeau,$D6-2010,FALSE)*T6</f>
        <v>516.37500000000011</v>
      </c>
      <c r="X6" t="str">
        <f t="shared" si="15"/>
        <v>SO</v>
      </c>
      <c r="Y6">
        <f t="shared" si="16"/>
        <v>0</v>
      </c>
      <c r="Z6">
        <f t="shared" si="17"/>
        <v>0</v>
      </c>
      <c r="AA6" t="str">
        <f t="shared" si="18"/>
        <v>Marché 1</v>
      </c>
      <c r="AB6">
        <f>VLOOKUP(AA6,pxmassif,$D6-2010,FALSE)*Y6</f>
        <v>0</v>
      </c>
      <c r="AC6">
        <f>VLOOKUP(AA6,pxcopeau,$D6-2010,FALSE)*Z6</f>
        <v>0</v>
      </c>
      <c r="AD6">
        <f t="shared" si="25"/>
        <v>374</v>
      </c>
      <c r="AE6">
        <f t="shared" si="26"/>
        <v>191.56874999999999</v>
      </c>
      <c r="AF6">
        <f t="shared" si="27"/>
        <v>234.28124999999997</v>
      </c>
      <c r="AG6">
        <f t="shared" si="28"/>
        <v>331.28750000000002</v>
      </c>
      <c r="AH6">
        <f t="shared" si="29"/>
        <v>0</v>
      </c>
      <c r="AI6">
        <f t="shared" si="30"/>
        <v>374</v>
      </c>
      <c r="AJ6">
        <f t="shared" si="31"/>
        <v>191.56874999999999</v>
      </c>
      <c r="AK6">
        <f t="shared" si="19"/>
        <v>548.64641875000007</v>
      </c>
      <c r="AL6">
        <f t="shared" si="20"/>
        <v>0</v>
      </c>
      <c r="AM6">
        <f>IFERROR(MIN(AL6,VLOOKUP(CONCATENATE(C6,"-to lingot"),negchutes,D6-2007,FALSE)),0)</f>
        <v>0</v>
      </c>
      <c r="AN6">
        <f t="shared" si="32"/>
        <v>0</v>
      </c>
      <c r="AO6" t="str">
        <f t="shared" si="33"/>
        <v>SO</v>
      </c>
      <c r="AP6">
        <f>IF(AR6=0,0,IFERROR(VLOOKUP(CONCATENATE($C6,"-to massif"),negchutes,$D6-2007,FALSE),0)*AM6/AR6)</f>
        <v>0</v>
      </c>
      <c r="AQ6">
        <f>IF(AR6=0,0,IFERROR(VLOOKUP(CONCATENATE($C6,"-to copeaux"),negchutes,$D6-2007,FALSE),0)*AM6/AR6)</f>
        <v>0</v>
      </c>
      <c r="AR6">
        <f>IFERROR(VLOOKUP(CONCATENATE($C6,"-to lingot"),negchutes,$D6-2007,FALSE),0)</f>
        <v>0</v>
      </c>
      <c r="AS6">
        <f>IF(AR6=0,0,AP6*VLOOKUP(CONCATENATE($C6,"-ac massif"),negchutes,$D6-2007,FALSE))</f>
        <v>0</v>
      </c>
      <c r="AT6">
        <f>IF(AR6=0,0,AQ6*VLOOKUP(CONCATENATE($C6,"-ac copeaux"),negchutes,$D6-2007,FALSE))</f>
        <v>0</v>
      </c>
      <c r="AU6">
        <f t="shared" si="21"/>
        <v>0</v>
      </c>
      <c r="AV6">
        <f>IFERROR(VLOOKUP(CONCATENATE(C6,"-px lingot"),negchutes,D6-2007,FALSE),0)*AM6</f>
        <v>0</v>
      </c>
      <c r="AW6">
        <f>AN6*VLOOKUP("Marché 1",pxlingot,D6-2010,FALSE)</f>
        <v>0</v>
      </c>
      <c r="AX6">
        <f t="shared" si="34"/>
        <v>0</v>
      </c>
      <c r="AY6" t="str">
        <f t="shared" si="22"/>
        <v>VAR</v>
      </c>
      <c r="AZ6">
        <f t="shared" si="23"/>
        <v>219.85621874999998</v>
      </c>
      <c r="BA6">
        <f>MAX(VLOOKUP(VLOOKUP(C6,descmarche,28,FALSE),pxlingot,D6-2010,FALSE),AX6)</f>
        <v>0</v>
      </c>
      <c r="BB6">
        <f t="shared" si="35"/>
        <v>0</v>
      </c>
      <c r="BC6" t="str">
        <f t="shared" si="24"/>
        <v>SO</v>
      </c>
    </row>
    <row r="7" spans="1:55" x14ac:dyDescent="0.25">
      <c r="A7" t="s">
        <v>16</v>
      </c>
      <c r="B7" s="4" t="s">
        <v>42</v>
      </c>
      <c r="C7" t="str">
        <f t="shared" si="0"/>
        <v>UKTMP-01</v>
      </c>
      <c r="D7">
        <v>2016</v>
      </c>
      <c r="E7">
        <v>2345</v>
      </c>
      <c r="F7" t="str">
        <f t="shared" si="1"/>
        <v>Airbus pour AD</v>
      </c>
      <c r="G7" t="str">
        <f t="shared" si="2"/>
        <v>Contrat Airbus pour AD</v>
      </c>
      <c r="H7" t="str">
        <f t="shared" si="3"/>
        <v>Structure</v>
      </c>
      <c r="I7">
        <f t="shared" si="4"/>
        <v>5</v>
      </c>
      <c r="J7">
        <f t="shared" si="5"/>
        <v>1210</v>
      </c>
      <c r="K7">
        <f t="shared" si="6"/>
        <v>2345</v>
      </c>
      <c r="L7">
        <f t="shared" si="7"/>
        <v>2837.45</v>
      </c>
      <c r="M7">
        <f t="shared" si="8"/>
        <v>123.11249999999998</v>
      </c>
      <c r="N7">
        <f t="shared" si="9"/>
        <v>135.42374999999998</v>
      </c>
      <c r="O7" t="str">
        <f t="shared" si="10"/>
        <v>Marché 1</v>
      </c>
      <c r="P7">
        <f>VLOOKUP(O7,pxmassif,D7-2010,FALSE)*M7</f>
        <v>1538.9062499999998</v>
      </c>
      <c r="Q7">
        <f>VLOOKUP(O7,pxcopeau,D7-2010,FALSE)*N7</f>
        <v>1015.6781249999999</v>
      </c>
      <c r="R7" t="str">
        <f t="shared" si="11"/>
        <v>AD PAMIERS</v>
      </c>
      <c r="S7">
        <f t="shared" si="12"/>
        <v>289.60750000000002</v>
      </c>
      <c r="T7">
        <f t="shared" si="13"/>
        <v>75.977999999999994</v>
      </c>
      <c r="U7" t="str">
        <f t="shared" si="14"/>
        <v>Marché 1</v>
      </c>
      <c r="V7">
        <f>VLOOKUP(U7,pxmassif,$D7-2010,FALSE)*S7</f>
        <v>3620.09375</v>
      </c>
      <c r="W7">
        <f>VLOOKUP(U7,pxcopeau,$D7-2010,FALSE)*T7</f>
        <v>569.83499999999992</v>
      </c>
      <c r="X7" t="str">
        <f t="shared" si="15"/>
        <v>SO</v>
      </c>
      <c r="Y7">
        <f t="shared" si="16"/>
        <v>0</v>
      </c>
      <c r="Z7">
        <f t="shared" si="17"/>
        <v>0</v>
      </c>
      <c r="AA7" t="str">
        <f t="shared" si="18"/>
        <v>Marché 1</v>
      </c>
      <c r="AB7">
        <f>VLOOKUP(AA7,pxmassif,$D7-2010,FALSE)*Y7</f>
        <v>0</v>
      </c>
      <c r="AC7">
        <f>VLOOKUP(AA7,pxcopeau,$D7-2010,FALSE)*Z7</f>
        <v>0</v>
      </c>
      <c r="AD7">
        <f t="shared" si="25"/>
        <v>412.72</v>
      </c>
      <c r="AE7">
        <f t="shared" si="26"/>
        <v>211.40174999999999</v>
      </c>
      <c r="AF7">
        <f t="shared" si="27"/>
        <v>258.53625</v>
      </c>
      <c r="AG7">
        <f t="shared" si="28"/>
        <v>365.58550000000002</v>
      </c>
      <c r="AH7">
        <f t="shared" si="29"/>
        <v>0</v>
      </c>
      <c r="AI7">
        <f t="shared" si="30"/>
        <v>412.72</v>
      </c>
      <c r="AJ7">
        <f t="shared" si="31"/>
        <v>211.40174999999999</v>
      </c>
      <c r="AK7">
        <f t="shared" si="19"/>
        <v>605.44745975000001</v>
      </c>
      <c r="AL7">
        <f t="shared" si="20"/>
        <v>0</v>
      </c>
      <c r="AM7">
        <f>IFERROR(MIN(AL7,VLOOKUP(CONCATENATE(C7,"-to lingot"),negchutes,D7-2007,FALSE)),0)</f>
        <v>0</v>
      </c>
      <c r="AN7">
        <f t="shared" si="32"/>
        <v>0</v>
      </c>
      <c r="AO7" t="str">
        <f t="shared" si="33"/>
        <v>SO</v>
      </c>
      <c r="AP7">
        <f>IF(AR7=0,0,IFERROR(VLOOKUP(CONCATENATE($C7,"-to massif"),negchutes,$D7-2007,FALSE),0)*AM7/AR7)</f>
        <v>0</v>
      </c>
      <c r="AQ7">
        <f>IF(AR7=0,0,IFERROR(VLOOKUP(CONCATENATE($C7,"-to copeaux"),negchutes,$D7-2007,FALSE),0)*AM7/AR7)</f>
        <v>0</v>
      </c>
      <c r="AR7">
        <f>IFERROR(VLOOKUP(CONCATENATE($C7,"-to lingot"),negchutes,$D7-2007,FALSE),0)</f>
        <v>0</v>
      </c>
      <c r="AS7">
        <f>IF(AR7=0,0,AP7*VLOOKUP(CONCATENATE($C7,"-ac massif"),negchutes,$D7-2007,FALSE))</f>
        <v>0</v>
      </c>
      <c r="AT7">
        <f>IF(AR7=0,0,AQ7*VLOOKUP(CONCATENATE($C7,"-ac copeaux"),negchutes,$D7-2007,FALSE))</f>
        <v>0</v>
      </c>
      <c r="AU7">
        <f t="shared" si="21"/>
        <v>0</v>
      </c>
      <c r="AV7">
        <f>IFERROR(VLOOKUP(CONCATENATE(C7,"-px lingot"),negchutes,D7-2007,FALSE),0)*AM7</f>
        <v>0</v>
      </c>
      <c r="AW7">
        <f>AN7*VLOOKUP("Marché 1",pxlingot,D7-2010,FALSE)</f>
        <v>0</v>
      </c>
      <c r="AX7">
        <f t="shared" si="34"/>
        <v>0</v>
      </c>
      <c r="AY7" t="str">
        <f t="shared" si="22"/>
        <v>VAR</v>
      </c>
      <c r="AZ7">
        <f t="shared" si="23"/>
        <v>242.61780374999998</v>
      </c>
      <c r="BA7">
        <f>MAX(VLOOKUP(VLOOKUP(C7,descmarche,28,FALSE),pxlingot,D7-2010,FALSE),AX7)</f>
        <v>0</v>
      </c>
      <c r="BB7">
        <f t="shared" si="35"/>
        <v>0</v>
      </c>
      <c r="BC7" t="str">
        <f t="shared" si="24"/>
        <v>SO</v>
      </c>
    </row>
    <row r="8" spans="1:55" x14ac:dyDescent="0.25">
      <c r="A8" t="s">
        <v>16</v>
      </c>
      <c r="B8" s="4" t="s">
        <v>42</v>
      </c>
      <c r="C8" t="str">
        <f t="shared" si="0"/>
        <v>UKTMP-01</v>
      </c>
      <c r="D8">
        <v>2017</v>
      </c>
      <c r="E8">
        <v>2345</v>
      </c>
      <c r="F8" t="str">
        <f t="shared" si="1"/>
        <v>Airbus pour AD</v>
      </c>
      <c r="G8" t="str">
        <f t="shared" si="2"/>
        <v>Contrat Airbus pour AD</v>
      </c>
      <c r="H8" t="str">
        <f t="shared" si="3"/>
        <v>Structure</v>
      </c>
      <c r="I8">
        <f t="shared" si="4"/>
        <v>5</v>
      </c>
      <c r="J8">
        <f t="shared" si="5"/>
        <v>1210</v>
      </c>
      <c r="K8">
        <f t="shared" si="6"/>
        <v>2345</v>
      </c>
      <c r="L8">
        <f t="shared" si="7"/>
        <v>2837.45</v>
      </c>
      <c r="M8">
        <f t="shared" si="8"/>
        <v>123.11249999999998</v>
      </c>
      <c r="N8">
        <f t="shared" si="9"/>
        <v>135.42374999999998</v>
      </c>
      <c r="O8" t="str">
        <f t="shared" si="10"/>
        <v>Marché 1</v>
      </c>
      <c r="P8">
        <f>VLOOKUP(O8,pxmassif,D8-2010,FALSE)*M8</f>
        <v>1538.9062499999998</v>
      </c>
      <c r="Q8">
        <f>VLOOKUP(O8,pxcopeau,D8-2010,FALSE)*N8</f>
        <v>1015.6781249999999</v>
      </c>
      <c r="R8" t="str">
        <f t="shared" si="11"/>
        <v>AD PAMIERS</v>
      </c>
      <c r="S8">
        <f t="shared" si="12"/>
        <v>289.60750000000002</v>
      </c>
      <c r="T8">
        <f t="shared" si="13"/>
        <v>75.977999999999994</v>
      </c>
      <c r="U8" t="str">
        <f t="shared" si="14"/>
        <v>Marché 1</v>
      </c>
      <c r="V8">
        <f>VLOOKUP(U8,pxmassif,$D8-2010,FALSE)*S8</f>
        <v>3620.09375</v>
      </c>
      <c r="W8">
        <f>VLOOKUP(U8,pxcopeau,$D8-2010,FALSE)*T8</f>
        <v>569.83499999999992</v>
      </c>
      <c r="X8" t="str">
        <f t="shared" si="15"/>
        <v>SO</v>
      </c>
      <c r="Y8">
        <f t="shared" si="16"/>
        <v>0</v>
      </c>
      <c r="Z8">
        <f t="shared" si="17"/>
        <v>0</v>
      </c>
      <c r="AA8" t="str">
        <f t="shared" si="18"/>
        <v>Marché 1</v>
      </c>
      <c r="AB8">
        <f>VLOOKUP(AA8,pxmassif,$D8-2010,FALSE)*Y8</f>
        <v>0</v>
      </c>
      <c r="AC8">
        <f>VLOOKUP(AA8,pxcopeau,$D8-2010,FALSE)*Z8</f>
        <v>0</v>
      </c>
      <c r="AD8">
        <f t="shared" si="25"/>
        <v>412.72</v>
      </c>
      <c r="AE8">
        <f t="shared" si="26"/>
        <v>211.40174999999999</v>
      </c>
      <c r="AF8">
        <f t="shared" si="27"/>
        <v>258.53625</v>
      </c>
      <c r="AG8">
        <f t="shared" si="28"/>
        <v>365.58550000000002</v>
      </c>
      <c r="AH8">
        <f t="shared" si="29"/>
        <v>0</v>
      </c>
      <c r="AI8">
        <f t="shared" si="30"/>
        <v>412.72</v>
      </c>
      <c r="AJ8">
        <f t="shared" si="31"/>
        <v>211.40174999999999</v>
      </c>
      <c r="AK8">
        <f t="shared" si="19"/>
        <v>605.44745975000001</v>
      </c>
      <c r="AL8">
        <f t="shared" si="20"/>
        <v>0</v>
      </c>
      <c r="AM8">
        <f>IFERROR(MIN(AL8,VLOOKUP(CONCATENATE(C8,"-to lingot"),negchutes,D8-2007,FALSE)),0)</f>
        <v>0</v>
      </c>
      <c r="AN8">
        <f t="shared" si="32"/>
        <v>0</v>
      </c>
      <c r="AO8" t="str">
        <f t="shared" si="33"/>
        <v>SO</v>
      </c>
      <c r="AP8">
        <f>IF(AR8=0,0,IFERROR(VLOOKUP(CONCATENATE($C8,"-to massif"),negchutes,$D8-2007,FALSE),0)*AM8/AR8)</f>
        <v>0</v>
      </c>
      <c r="AQ8">
        <f>IF(AR8=0,0,IFERROR(VLOOKUP(CONCATENATE($C8,"-to copeaux"),negchutes,$D8-2007,FALSE),0)*AM8/AR8)</f>
        <v>0</v>
      </c>
      <c r="AR8">
        <f>IFERROR(VLOOKUP(CONCATENATE($C8,"-to lingot"),negchutes,$D8-2007,FALSE),0)</f>
        <v>0</v>
      </c>
      <c r="AS8">
        <f>IF(AR8=0,0,AP8*VLOOKUP(CONCATENATE($C8,"-ac massif"),negchutes,$D8-2007,FALSE))</f>
        <v>0</v>
      </c>
      <c r="AT8">
        <f>IF(AR8=0,0,AQ8*VLOOKUP(CONCATENATE($C8,"-ac copeaux"),negchutes,$D8-2007,FALSE))</f>
        <v>0</v>
      </c>
      <c r="AU8">
        <f t="shared" si="21"/>
        <v>0</v>
      </c>
      <c r="AV8">
        <f>IFERROR(VLOOKUP(CONCATENATE(C8,"-px lingot"),negchutes,D8-2007,FALSE),0)*AM8</f>
        <v>0</v>
      </c>
      <c r="AW8">
        <f>AN8*VLOOKUP("Marché 1",pxlingot,D8-2010,FALSE)</f>
        <v>0</v>
      </c>
      <c r="AX8">
        <f t="shared" si="34"/>
        <v>0</v>
      </c>
      <c r="AY8" t="str">
        <f t="shared" si="22"/>
        <v>VAR</v>
      </c>
      <c r="AZ8">
        <f t="shared" si="23"/>
        <v>242.61780374999998</v>
      </c>
      <c r="BA8">
        <f>MAX(VLOOKUP(VLOOKUP(C8,descmarche,28,FALSE),pxlingot,D8-2010,FALSE),AX8)</f>
        <v>0</v>
      </c>
      <c r="BB8">
        <f t="shared" si="35"/>
        <v>0</v>
      </c>
      <c r="BC8" t="str">
        <f t="shared" si="24"/>
        <v>SO</v>
      </c>
    </row>
    <row r="9" spans="1:55" x14ac:dyDescent="0.25">
      <c r="A9" t="s">
        <v>16</v>
      </c>
      <c r="B9" s="4" t="s">
        <v>42</v>
      </c>
      <c r="C9" t="str">
        <f t="shared" ref="C9:C16" si="36">CONCATENATE(A9,"-",B9)</f>
        <v>UKTMP-01</v>
      </c>
      <c r="D9">
        <v>2018</v>
      </c>
      <c r="E9">
        <v>2345</v>
      </c>
      <c r="F9" t="str">
        <f t="shared" si="1"/>
        <v>Airbus pour AD</v>
      </c>
      <c r="G9" t="str">
        <f t="shared" si="2"/>
        <v>Contrat Airbus pour AD</v>
      </c>
      <c r="H9" t="str">
        <f t="shared" si="3"/>
        <v>Structure</v>
      </c>
      <c r="I9">
        <f t="shared" si="4"/>
        <v>5</v>
      </c>
      <c r="J9">
        <f t="shared" si="5"/>
        <v>1210</v>
      </c>
      <c r="K9">
        <f t="shared" si="6"/>
        <v>2345</v>
      </c>
      <c r="L9">
        <f t="shared" si="7"/>
        <v>2837.45</v>
      </c>
      <c r="M9">
        <f t="shared" si="8"/>
        <v>123.11249999999998</v>
      </c>
      <c r="N9">
        <f t="shared" si="9"/>
        <v>135.42374999999998</v>
      </c>
      <c r="O9" t="str">
        <f t="shared" si="10"/>
        <v>Marché 1</v>
      </c>
      <c r="P9">
        <f>VLOOKUP(O9,pxmassif,D9-2010,FALSE)*M9</f>
        <v>1538.9062499999998</v>
      </c>
      <c r="Q9">
        <f>VLOOKUP(O9,pxcopeau,D9-2010,FALSE)*N9</f>
        <v>1015.6781249999999</v>
      </c>
      <c r="R9" t="str">
        <f t="shared" si="11"/>
        <v>AD PAMIERS</v>
      </c>
      <c r="S9">
        <f t="shared" si="12"/>
        <v>289.60750000000002</v>
      </c>
      <c r="T9">
        <f t="shared" si="13"/>
        <v>75.977999999999994</v>
      </c>
      <c r="U9" t="str">
        <f t="shared" si="14"/>
        <v>Marché 1</v>
      </c>
      <c r="V9">
        <f>VLOOKUP(U9,pxmassif,$D9-2010,FALSE)*S9</f>
        <v>3620.09375</v>
      </c>
      <c r="W9">
        <f>VLOOKUP(U9,pxcopeau,$D9-2010,FALSE)*T9</f>
        <v>569.83499999999992</v>
      </c>
      <c r="X9" t="str">
        <f t="shared" si="15"/>
        <v>SO</v>
      </c>
      <c r="Y9">
        <f t="shared" si="16"/>
        <v>0</v>
      </c>
      <c r="Z9">
        <f t="shared" si="17"/>
        <v>0</v>
      </c>
      <c r="AA9" t="str">
        <f t="shared" si="18"/>
        <v>Marché 1</v>
      </c>
      <c r="AB9">
        <f>VLOOKUP(AA9,pxmassif,$D9-2010,FALSE)*Y9</f>
        <v>0</v>
      </c>
      <c r="AC9">
        <f>VLOOKUP(AA9,pxcopeau,$D9-2010,FALSE)*Z9</f>
        <v>0</v>
      </c>
      <c r="AD9">
        <f t="shared" si="25"/>
        <v>412.72</v>
      </c>
      <c r="AE9">
        <f t="shared" si="26"/>
        <v>211.40174999999999</v>
      </c>
      <c r="AF9">
        <f t="shared" si="27"/>
        <v>258.53625</v>
      </c>
      <c r="AG9">
        <f t="shared" si="28"/>
        <v>365.58550000000002</v>
      </c>
      <c r="AH9">
        <f t="shared" si="29"/>
        <v>0</v>
      </c>
      <c r="AI9">
        <f t="shared" si="30"/>
        <v>412.72</v>
      </c>
      <c r="AJ9">
        <f t="shared" si="31"/>
        <v>211.40174999999999</v>
      </c>
      <c r="AK9">
        <f t="shared" si="19"/>
        <v>605.44745975000001</v>
      </c>
      <c r="AL9">
        <f t="shared" si="20"/>
        <v>0</v>
      </c>
      <c r="AM9">
        <f>IFERROR(MIN(AL9,VLOOKUP(CONCATENATE(C9,"-to lingot"),negchutes,D9-2007,FALSE)),0)</f>
        <v>0</v>
      </c>
      <c r="AN9">
        <f t="shared" si="32"/>
        <v>0</v>
      </c>
      <c r="AO9" t="str">
        <f t="shared" si="33"/>
        <v>SO</v>
      </c>
      <c r="AP9">
        <f>IF(AR9=0,0,IFERROR(VLOOKUP(CONCATENATE($C9,"-to massif"),negchutes,$D9-2007,FALSE),0)*AM9/AR9)</f>
        <v>0</v>
      </c>
      <c r="AQ9">
        <f>IF(AR9=0,0,IFERROR(VLOOKUP(CONCATENATE($C9,"-to copeaux"),negchutes,$D9-2007,FALSE),0)*AM9/AR9)</f>
        <v>0</v>
      </c>
      <c r="AR9">
        <f>IFERROR(VLOOKUP(CONCATENATE($C9,"-to lingot"),negchutes,$D9-2007,FALSE),0)</f>
        <v>0</v>
      </c>
      <c r="AS9">
        <f>IF(AR9=0,0,AP9*VLOOKUP(CONCATENATE($C9,"-ac massif"),negchutes,$D9-2007,FALSE))</f>
        <v>0</v>
      </c>
      <c r="AT9">
        <f>IF(AR9=0,0,AQ9*VLOOKUP(CONCATENATE($C9,"-ac copeaux"),negchutes,$D9-2007,FALSE))</f>
        <v>0</v>
      </c>
      <c r="AU9">
        <f t="shared" si="21"/>
        <v>0</v>
      </c>
      <c r="AV9">
        <f>IFERROR(VLOOKUP(CONCATENATE(C9,"-px lingot"),negchutes,D9-2007,FALSE),0)*AM9</f>
        <v>0</v>
      </c>
      <c r="AW9">
        <f>AN9*VLOOKUP("Marché 1",pxlingot,D9-2010,FALSE)</f>
        <v>0</v>
      </c>
      <c r="AX9">
        <f t="shared" si="34"/>
        <v>0</v>
      </c>
      <c r="AY9" t="str">
        <f t="shared" si="22"/>
        <v>VAR</v>
      </c>
      <c r="AZ9">
        <f t="shared" si="23"/>
        <v>242.61780374999998</v>
      </c>
      <c r="BA9">
        <f>MAX(VLOOKUP(VLOOKUP(C9,descmarche,28,FALSE),pxlingot,D9-2010,FALSE),AX9)</f>
        <v>0</v>
      </c>
      <c r="BB9">
        <f t="shared" si="35"/>
        <v>0</v>
      </c>
      <c r="BC9" t="str">
        <f t="shared" si="24"/>
        <v>SO</v>
      </c>
    </row>
    <row r="10" spans="1:55" x14ac:dyDescent="0.25">
      <c r="A10" t="s">
        <v>16</v>
      </c>
      <c r="B10" s="4" t="s">
        <v>42</v>
      </c>
      <c r="C10" t="str">
        <f t="shared" si="36"/>
        <v>UKTMP-01</v>
      </c>
      <c r="D10">
        <v>2019</v>
      </c>
      <c r="E10">
        <v>2345</v>
      </c>
      <c r="F10" t="str">
        <f t="shared" si="1"/>
        <v>Airbus pour AD</v>
      </c>
      <c r="G10" t="str">
        <f t="shared" si="2"/>
        <v>Contrat Airbus pour AD</v>
      </c>
      <c r="H10" t="str">
        <f t="shared" si="3"/>
        <v>Structure</v>
      </c>
      <c r="I10">
        <f t="shared" si="4"/>
        <v>5</v>
      </c>
      <c r="J10">
        <f t="shared" si="5"/>
        <v>1210</v>
      </c>
      <c r="K10">
        <f t="shared" si="6"/>
        <v>2345</v>
      </c>
      <c r="L10">
        <f t="shared" si="7"/>
        <v>2837.45</v>
      </c>
      <c r="M10">
        <f t="shared" si="8"/>
        <v>123.11249999999998</v>
      </c>
      <c r="N10">
        <f t="shared" si="9"/>
        <v>135.42374999999998</v>
      </c>
      <c r="O10" t="str">
        <f t="shared" si="10"/>
        <v>Marché 1</v>
      </c>
      <c r="P10">
        <f>VLOOKUP(O10,pxmassif,D10-2010,FALSE)*M10</f>
        <v>1538.9062499999998</v>
      </c>
      <c r="Q10">
        <f>VLOOKUP(O10,pxcopeau,D10-2010,FALSE)*N10</f>
        <v>1015.6781249999999</v>
      </c>
      <c r="R10" t="str">
        <f t="shared" si="11"/>
        <v>AD PAMIERS</v>
      </c>
      <c r="S10">
        <f t="shared" si="12"/>
        <v>289.60750000000002</v>
      </c>
      <c r="T10">
        <f t="shared" si="13"/>
        <v>75.977999999999994</v>
      </c>
      <c r="U10" t="str">
        <f t="shared" si="14"/>
        <v>Marché 1</v>
      </c>
      <c r="V10">
        <f>VLOOKUP(U10,pxmassif,$D10-2010,FALSE)*S10</f>
        <v>3620.09375</v>
      </c>
      <c r="W10">
        <f>VLOOKUP(U10,pxcopeau,$D10-2010,FALSE)*T10</f>
        <v>569.83499999999992</v>
      </c>
      <c r="X10" t="str">
        <f t="shared" si="15"/>
        <v>SO</v>
      </c>
      <c r="Y10">
        <f t="shared" si="16"/>
        <v>0</v>
      </c>
      <c r="Z10">
        <f t="shared" si="17"/>
        <v>0</v>
      </c>
      <c r="AA10" t="str">
        <f t="shared" si="18"/>
        <v>Marché 1</v>
      </c>
      <c r="AB10">
        <f>VLOOKUP(AA10,pxmassif,$D10-2010,FALSE)*Y10</f>
        <v>0</v>
      </c>
      <c r="AC10">
        <f>VLOOKUP(AA10,pxcopeau,$D10-2010,FALSE)*Z10</f>
        <v>0</v>
      </c>
      <c r="AD10">
        <f t="shared" si="25"/>
        <v>412.72</v>
      </c>
      <c r="AE10">
        <f t="shared" si="26"/>
        <v>211.40174999999999</v>
      </c>
      <c r="AF10">
        <f t="shared" si="27"/>
        <v>258.53625</v>
      </c>
      <c r="AG10">
        <f t="shared" si="28"/>
        <v>365.58550000000002</v>
      </c>
      <c r="AH10">
        <f t="shared" si="29"/>
        <v>0</v>
      </c>
      <c r="AI10">
        <f t="shared" si="30"/>
        <v>412.72</v>
      </c>
      <c r="AJ10">
        <f t="shared" si="31"/>
        <v>211.40174999999999</v>
      </c>
      <c r="AK10">
        <f t="shared" si="19"/>
        <v>605.44745975000001</v>
      </c>
      <c r="AL10">
        <f t="shared" si="20"/>
        <v>0</v>
      </c>
      <c r="AM10">
        <f>IFERROR(MIN(AL10,VLOOKUP(CONCATENATE(C10,"-to lingot"),negchutes,D10-2007,FALSE)),0)</f>
        <v>0</v>
      </c>
      <c r="AN10">
        <f t="shared" si="32"/>
        <v>0</v>
      </c>
      <c r="AO10" t="str">
        <f t="shared" si="33"/>
        <v>SO</v>
      </c>
      <c r="AP10">
        <f>IF(AR10=0,0,IFERROR(VLOOKUP(CONCATENATE($C10,"-to massif"),negchutes,$D10-2007,FALSE),0)*AM10/AR10)</f>
        <v>0</v>
      </c>
      <c r="AQ10">
        <f>IF(AR10=0,0,IFERROR(VLOOKUP(CONCATENATE($C10,"-to copeaux"),negchutes,$D10-2007,FALSE),0)*AM10/AR10)</f>
        <v>0</v>
      </c>
      <c r="AR10">
        <f>IFERROR(VLOOKUP(CONCATENATE($C10,"-to lingot"),negchutes,$D10-2007,FALSE),0)</f>
        <v>0</v>
      </c>
      <c r="AS10">
        <f>IF(AR10=0,0,AP10*VLOOKUP(CONCATENATE($C10,"-ac massif"),negchutes,$D10-2007,FALSE))</f>
        <v>0</v>
      </c>
      <c r="AT10">
        <f>IF(AR10=0,0,AQ10*VLOOKUP(CONCATENATE($C10,"-ac copeaux"),negchutes,$D10-2007,FALSE))</f>
        <v>0</v>
      </c>
      <c r="AU10">
        <f t="shared" si="21"/>
        <v>0</v>
      </c>
      <c r="AV10">
        <f>IFERROR(VLOOKUP(CONCATENATE(C10,"-px lingot"),negchutes,D10-2007,FALSE),0)*AM10</f>
        <v>0</v>
      </c>
      <c r="AW10">
        <f>AN10*VLOOKUP("Marché 1",pxlingot,D10-2010,FALSE)</f>
        <v>0</v>
      </c>
      <c r="AX10">
        <f t="shared" si="34"/>
        <v>0</v>
      </c>
      <c r="AY10" t="str">
        <f t="shared" si="22"/>
        <v>VAR</v>
      </c>
      <c r="AZ10">
        <f t="shared" si="23"/>
        <v>242.61780374999998</v>
      </c>
      <c r="BA10">
        <f>MAX(VLOOKUP(VLOOKUP(C10,descmarche,28,FALSE),pxlingot,D10-2010,FALSE),AX10)</f>
        <v>0</v>
      </c>
      <c r="BB10">
        <f t="shared" si="35"/>
        <v>0</v>
      </c>
      <c r="BC10" t="str">
        <f t="shared" si="24"/>
        <v>SO</v>
      </c>
    </row>
    <row r="11" spans="1:55" x14ac:dyDescent="0.25">
      <c r="A11" t="s">
        <v>16</v>
      </c>
      <c r="B11" s="4" t="s">
        <v>42</v>
      </c>
      <c r="C11" t="str">
        <f t="shared" si="36"/>
        <v>UKTMP-01</v>
      </c>
      <c r="D11">
        <v>2020</v>
      </c>
      <c r="E11">
        <v>2345</v>
      </c>
      <c r="F11" t="str">
        <f t="shared" si="1"/>
        <v>Airbus pour AD</v>
      </c>
      <c r="G11" t="str">
        <f t="shared" si="2"/>
        <v>Contrat Airbus pour AD</v>
      </c>
      <c r="H11" t="str">
        <f t="shared" si="3"/>
        <v>Structure</v>
      </c>
      <c r="I11">
        <f t="shared" si="4"/>
        <v>5</v>
      </c>
      <c r="J11">
        <f t="shared" si="5"/>
        <v>1210</v>
      </c>
      <c r="K11">
        <f t="shared" si="6"/>
        <v>2345</v>
      </c>
      <c r="L11">
        <f t="shared" si="7"/>
        <v>2837.45</v>
      </c>
      <c r="M11">
        <f t="shared" si="8"/>
        <v>123.11249999999998</v>
      </c>
      <c r="N11">
        <f t="shared" si="9"/>
        <v>135.42374999999998</v>
      </c>
      <c r="O11" t="str">
        <f t="shared" si="10"/>
        <v>Marché 1</v>
      </c>
      <c r="P11">
        <f>VLOOKUP(O11,pxmassif,D11-2010,FALSE)*M11</f>
        <v>1538.9062499999998</v>
      </c>
      <c r="Q11">
        <f>VLOOKUP(O11,pxcopeau,D11-2010,FALSE)*N11</f>
        <v>1015.6781249999999</v>
      </c>
      <c r="R11" t="str">
        <f t="shared" si="11"/>
        <v>AD PAMIERS</v>
      </c>
      <c r="S11">
        <f t="shared" si="12"/>
        <v>289.60750000000002</v>
      </c>
      <c r="T11">
        <f t="shared" si="13"/>
        <v>75.977999999999994</v>
      </c>
      <c r="U11" t="str">
        <f t="shared" si="14"/>
        <v>Marché 1</v>
      </c>
      <c r="V11">
        <f>VLOOKUP(U11,pxmassif,$D11-2010,FALSE)*S11</f>
        <v>3620.09375</v>
      </c>
      <c r="W11">
        <f>VLOOKUP(U11,pxcopeau,$D11-2010,FALSE)*T11</f>
        <v>569.83499999999992</v>
      </c>
      <c r="X11" t="str">
        <f t="shared" si="15"/>
        <v>SO</v>
      </c>
      <c r="Y11">
        <f t="shared" si="16"/>
        <v>0</v>
      </c>
      <c r="Z11">
        <f t="shared" si="17"/>
        <v>0</v>
      </c>
      <c r="AA11" t="str">
        <f t="shared" si="18"/>
        <v>Marché 1</v>
      </c>
      <c r="AB11">
        <f>VLOOKUP(AA11,pxmassif,$D11-2010,FALSE)*Y11</f>
        <v>0</v>
      </c>
      <c r="AC11">
        <f>VLOOKUP(AA11,pxcopeau,$D11-2010,FALSE)*Z11</f>
        <v>0</v>
      </c>
      <c r="AD11">
        <f t="shared" si="25"/>
        <v>412.72</v>
      </c>
      <c r="AE11">
        <f t="shared" si="26"/>
        <v>211.40174999999999</v>
      </c>
      <c r="AF11">
        <f t="shared" si="27"/>
        <v>258.53625</v>
      </c>
      <c r="AG11">
        <f t="shared" si="28"/>
        <v>365.58550000000002</v>
      </c>
      <c r="AH11">
        <f t="shared" si="29"/>
        <v>0</v>
      </c>
      <c r="AI11">
        <f t="shared" si="30"/>
        <v>412.72</v>
      </c>
      <c r="AJ11">
        <f t="shared" si="31"/>
        <v>211.40174999999999</v>
      </c>
      <c r="AK11">
        <f t="shared" si="19"/>
        <v>605.44745975000001</v>
      </c>
      <c r="AL11">
        <f t="shared" si="20"/>
        <v>0</v>
      </c>
      <c r="AM11">
        <f>IFERROR(MIN(AL11,VLOOKUP(CONCATENATE(C11,"-to lingot"),negchutes,D11-2007,FALSE)),0)</f>
        <v>0</v>
      </c>
      <c r="AN11">
        <f t="shared" si="32"/>
        <v>0</v>
      </c>
      <c r="AO11" t="str">
        <f t="shared" si="33"/>
        <v>SO</v>
      </c>
      <c r="AP11">
        <f>IF(AR11=0,0,IFERROR(VLOOKUP(CONCATENATE($C11,"-to massif"),negchutes,$D11-2007,FALSE),0)*AM11/AR11)</f>
        <v>0</v>
      </c>
      <c r="AQ11">
        <f>IF(AR11=0,0,IFERROR(VLOOKUP(CONCATENATE($C11,"-to copeaux"),negchutes,$D11-2007,FALSE),0)*AM11/AR11)</f>
        <v>0</v>
      </c>
      <c r="AR11">
        <f>IFERROR(VLOOKUP(CONCATENATE($C11,"-to lingot"),negchutes,$D11-2007,FALSE),0)</f>
        <v>0</v>
      </c>
      <c r="AS11">
        <f>IF(AR11=0,0,AP11*VLOOKUP(CONCATENATE($C11,"-ac massif"),negchutes,$D11-2007,FALSE))</f>
        <v>0</v>
      </c>
      <c r="AT11">
        <f>IF(AR11=0,0,AQ11*VLOOKUP(CONCATENATE($C11,"-ac copeaux"),negchutes,$D11-2007,FALSE))</f>
        <v>0</v>
      </c>
      <c r="AU11">
        <f t="shared" si="21"/>
        <v>0</v>
      </c>
      <c r="AV11">
        <f>IFERROR(VLOOKUP(CONCATENATE(C11,"-px lingot"),negchutes,D11-2007,FALSE),0)*AM11</f>
        <v>0</v>
      </c>
      <c r="AW11">
        <f>AN11*VLOOKUP("Marché 1",pxlingot,D11-2010,FALSE)</f>
        <v>0</v>
      </c>
      <c r="AX11">
        <f t="shared" si="34"/>
        <v>0</v>
      </c>
      <c r="AY11" t="str">
        <f t="shared" si="22"/>
        <v>VAR</v>
      </c>
      <c r="AZ11">
        <f t="shared" si="23"/>
        <v>242.61780374999998</v>
      </c>
      <c r="BA11">
        <f>MAX(VLOOKUP(VLOOKUP(C11,descmarche,28,FALSE),pxlingot,D11-2010,FALSE),AX11)</f>
        <v>0</v>
      </c>
      <c r="BB11">
        <f t="shared" si="35"/>
        <v>0</v>
      </c>
      <c r="BC11" t="str">
        <f t="shared" si="24"/>
        <v>SO</v>
      </c>
    </row>
    <row r="12" spans="1:55" x14ac:dyDescent="0.25">
      <c r="A12" t="s">
        <v>16</v>
      </c>
      <c r="B12" s="4" t="s">
        <v>42</v>
      </c>
      <c r="C12" t="str">
        <f t="shared" si="36"/>
        <v>UKTMP-01</v>
      </c>
      <c r="D12">
        <v>2021</v>
      </c>
      <c r="E12">
        <v>2345</v>
      </c>
      <c r="F12" t="str">
        <f t="shared" si="1"/>
        <v>Airbus pour AD</v>
      </c>
      <c r="G12" t="str">
        <f t="shared" si="2"/>
        <v>Contrat Airbus pour AD</v>
      </c>
      <c r="H12" t="str">
        <f t="shared" si="3"/>
        <v>Structure</v>
      </c>
      <c r="I12">
        <f t="shared" si="4"/>
        <v>5</v>
      </c>
      <c r="J12">
        <f t="shared" si="5"/>
        <v>1210</v>
      </c>
      <c r="K12">
        <f t="shared" si="6"/>
        <v>2345</v>
      </c>
      <c r="L12">
        <f t="shared" si="7"/>
        <v>2837.45</v>
      </c>
      <c r="M12">
        <f t="shared" si="8"/>
        <v>123.11249999999998</v>
      </c>
      <c r="N12">
        <f t="shared" si="9"/>
        <v>135.42374999999998</v>
      </c>
      <c r="O12" t="str">
        <f t="shared" si="10"/>
        <v>Marché 1</v>
      </c>
      <c r="P12">
        <f>VLOOKUP(O12,pxmassif,D12-2010,FALSE)*M12</f>
        <v>1538.9062499999998</v>
      </c>
      <c r="Q12">
        <f>VLOOKUP(O12,pxcopeau,D12-2010,FALSE)*N12</f>
        <v>1015.6781249999999</v>
      </c>
      <c r="R12" t="str">
        <f t="shared" si="11"/>
        <v>AD PAMIERS</v>
      </c>
      <c r="S12">
        <f t="shared" si="12"/>
        <v>289.60750000000002</v>
      </c>
      <c r="T12">
        <f t="shared" si="13"/>
        <v>75.977999999999994</v>
      </c>
      <c r="U12" t="str">
        <f t="shared" si="14"/>
        <v>Marché 1</v>
      </c>
      <c r="V12">
        <f>VLOOKUP(U12,pxmassif,$D12-2010,FALSE)*S12</f>
        <v>3620.09375</v>
      </c>
      <c r="W12">
        <f>VLOOKUP(U12,pxcopeau,$D12-2010,FALSE)*T12</f>
        <v>569.83499999999992</v>
      </c>
      <c r="X12" t="str">
        <f t="shared" si="15"/>
        <v>SO</v>
      </c>
      <c r="Y12">
        <f t="shared" si="16"/>
        <v>0</v>
      </c>
      <c r="Z12">
        <f t="shared" si="17"/>
        <v>0</v>
      </c>
      <c r="AA12" t="str">
        <f t="shared" si="18"/>
        <v>Marché 1</v>
      </c>
      <c r="AB12">
        <f>VLOOKUP(AA12,pxmassif,$D12-2010,FALSE)*Y12</f>
        <v>0</v>
      </c>
      <c r="AC12">
        <f>VLOOKUP(AA12,pxcopeau,$D12-2010,FALSE)*Z12</f>
        <v>0</v>
      </c>
      <c r="AD12">
        <f t="shared" si="25"/>
        <v>412.72</v>
      </c>
      <c r="AE12">
        <f t="shared" si="26"/>
        <v>211.40174999999999</v>
      </c>
      <c r="AF12">
        <f t="shared" si="27"/>
        <v>258.53625</v>
      </c>
      <c r="AG12">
        <f t="shared" si="28"/>
        <v>365.58550000000002</v>
      </c>
      <c r="AH12">
        <f t="shared" si="29"/>
        <v>0</v>
      </c>
      <c r="AI12">
        <f t="shared" si="30"/>
        <v>412.72</v>
      </c>
      <c r="AJ12">
        <f t="shared" si="31"/>
        <v>211.40174999999999</v>
      </c>
      <c r="AK12">
        <f t="shared" si="19"/>
        <v>605.44745975000001</v>
      </c>
      <c r="AL12">
        <f t="shared" si="20"/>
        <v>0</v>
      </c>
      <c r="AM12">
        <f>IFERROR(MIN(AL12,VLOOKUP(CONCATENATE(C12,"-to lingot"),negchutes,D12-2007,FALSE)),0)</f>
        <v>0</v>
      </c>
      <c r="AN12">
        <f t="shared" si="32"/>
        <v>0</v>
      </c>
      <c r="AO12" t="str">
        <f t="shared" si="33"/>
        <v>SO</v>
      </c>
      <c r="AP12">
        <f>IF(AR12=0,0,IFERROR(VLOOKUP(CONCATENATE($C12,"-to massif"),negchutes,$D12-2007,FALSE),0)*AM12/AR12)</f>
        <v>0</v>
      </c>
      <c r="AQ12">
        <f>IF(AR12=0,0,IFERROR(VLOOKUP(CONCATENATE($C12,"-to copeaux"),negchutes,$D12-2007,FALSE),0)*AM12/AR12)</f>
        <v>0</v>
      </c>
      <c r="AR12">
        <f>IFERROR(VLOOKUP(CONCATENATE($C12,"-to lingot"),negchutes,$D12-2007,FALSE),0)</f>
        <v>0</v>
      </c>
      <c r="AS12">
        <f>IF(AR12=0,0,AP12*VLOOKUP(CONCATENATE($C12,"-ac massif"),negchutes,$D12-2007,FALSE))</f>
        <v>0</v>
      </c>
      <c r="AT12">
        <f>IF(AR12=0,0,AQ12*VLOOKUP(CONCATENATE($C12,"-ac copeaux"),negchutes,$D12-2007,FALSE))</f>
        <v>0</v>
      </c>
      <c r="AU12">
        <f t="shared" si="21"/>
        <v>0</v>
      </c>
      <c r="AV12">
        <f>IFERROR(VLOOKUP(CONCATENATE(C12,"-px lingot"),negchutes,D12-2007,FALSE),0)*AM12</f>
        <v>0</v>
      </c>
      <c r="AW12">
        <f>AN12*VLOOKUP("Marché 1",pxlingot,D12-2010,FALSE)</f>
        <v>0</v>
      </c>
      <c r="AX12">
        <f t="shared" si="34"/>
        <v>0</v>
      </c>
      <c r="AY12" t="str">
        <f t="shared" si="22"/>
        <v>VAR</v>
      </c>
      <c r="AZ12">
        <f t="shared" si="23"/>
        <v>242.61780374999998</v>
      </c>
      <c r="BA12">
        <f>MAX(VLOOKUP(VLOOKUP(C12,descmarche,28,FALSE),pxlingot,D12-2010,FALSE),AX12)</f>
        <v>0</v>
      </c>
      <c r="BB12">
        <f t="shared" si="35"/>
        <v>0</v>
      </c>
      <c r="BC12" t="str">
        <f t="shared" si="24"/>
        <v>SO</v>
      </c>
    </row>
    <row r="13" spans="1:55" x14ac:dyDescent="0.25">
      <c r="A13" t="s">
        <v>16</v>
      </c>
      <c r="B13" s="4" t="s">
        <v>42</v>
      </c>
      <c r="C13" t="str">
        <f t="shared" si="36"/>
        <v>UKTMP-01</v>
      </c>
      <c r="D13">
        <v>2022</v>
      </c>
      <c r="E13">
        <v>2345</v>
      </c>
      <c r="F13" t="str">
        <f t="shared" si="1"/>
        <v>Airbus pour AD</v>
      </c>
      <c r="G13" t="str">
        <f t="shared" si="2"/>
        <v>Contrat Airbus pour AD</v>
      </c>
      <c r="H13" t="str">
        <f t="shared" si="3"/>
        <v>Structure</v>
      </c>
      <c r="I13">
        <f t="shared" si="4"/>
        <v>5</v>
      </c>
      <c r="J13">
        <f t="shared" si="5"/>
        <v>1210</v>
      </c>
      <c r="K13">
        <f t="shared" si="6"/>
        <v>2345</v>
      </c>
      <c r="L13">
        <f t="shared" si="7"/>
        <v>2837.45</v>
      </c>
      <c r="M13">
        <f t="shared" si="8"/>
        <v>123.11249999999998</v>
      </c>
      <c r="N13">
        <f t="shared" si="9"/>
        <v>135.42374999999998</v>
      </c>
      <c r="O13" t="str">
        <f t="shared" si="10"/>
        <v>Marché 1</v>
      </c>
      <c r="P13">
        <f>VLOOKUP(O13,pxmassif,D13-2010,FALSE)*M13</f>
        <v>1538.9062499999998</v>
      </c>
      <c r="Q13">
        <f>VLOOKUP(O13,pxcopeau,D13-2010,FALSE)*N13</f>
        <v>1015.6781249999999</v>
      </c>
      <c r="R13" t="str">
        <f t="shared" si="11"/>
        <v>AD PAMIERS</v>
      </c>
      <c r="S13">
        <f t="shared" si="12"/>
        <v>289.60750000000002</v>
      </c>
      <c r="T13">
        <f t="shared" si="13"/>
        <v>75.977999999999994</v>
      </c>
      <c r="U13" t="str">
        <f t="shared" si="14"/>
        <v>Marché 1</v>
      </c>
      <c r="V13">
        <f>VLOOKUP(U13,pxmassif,$D13-2010,FALSE)*S13</f>
        <v>3620.09375</v>
      </c>
      <c r="W13">
        <f>VLOOKUP(U13,pxcopeau,$D13-2010,FALSE)*T13</f>
        <v>569.83499999999992</v>
      </c>
      <c r="X13" t="str">
        <f t="shared" si="15"/>
        <v>SO</v>
      </c>
      <c r="Y13">
        <f t="shared" si="16"/>
        <v>0</v>
      </c>
      <c r="Z13">
        <f t="shared" si="17"/>
        <v>0</v>
      </c>
      <c r="AA13" t="str">
        <f t="shared" si="18"/>
        <v>Marché 1</v>
      </c>
      <c r="AB13">
        <f>VLOOKUP(AA13,pxmassif,$D13-2010,FALSE)*Y13</f>
        <v>0</v>
      </c>
      <c r="AC13">
        <f>VLOOKUP(AA13,pxcopeau,$D13-2010,FALSE)*Z13</f>
        <v>0</v>
      </c>
      <c r="AD13">
        <f t="shared" si="25"/>
        <v>412.72</v>
      </c>
      <c r="AE13">
        <f t="shared" si="26"/>
        <v>211.40174999999999</v>
      </c>
      <c r="AF13">
        <f t="shared" si="27"/>
        <v>258.53625</v>
      </c>
      <c r="AG13">
        <f t="shared" si="28"/>
        <v>365.58550000000002</v>
      </c>
      <c r="AH13">
        <f t="shared" si="29"/>
        <v>0</v>
      </c>
      <c r="AI13">
        <f t="shared" si="30"/>
        <v>412.72</v>
      </c>
      <c r="AJ13">
        <f t="shared" si="31"/>
        <v>211.40174999999999</v>
      </c>
      <c r="AK13">
        <f t="shared" si="19"/>
        <v>605.44745975000001</v>
      </c>
      <c r="AL13">
        <f t="shared" si="20"/>
        <v>0</v>
      </c>
      <c r="AM13">
        <f>IFERROR(MIN(AL13,VLOOKUP(CONCATENATE(C13,"-to lingot"),negchutes,D13-2007,FALSE)),0)</f>
        <v>0</v>
      </c>
      <c r="AN13">
        <f t="shared" si="32"/>
        <v>0</v>
      </c>
      <c r="AO13" t="str">
        <f t="shared" si="33"/>
        <v>SO</v>
      </c>
      <c r="AP13">
        <f>IF(AR13=0,0,IFERROR(VLOOKUP(CONCATENATE($C13,"-to massif"),negchutes,$D13-2007,FALSE),0)*AM13/AR13)</f>
        <v>0</v>
      </c>
      <c r="AQ13">
        <f>IF(AR13=0,0,IFERROR(VLOOKUP(CONCATENATE($C13,"-to copeaux"),negchutes,$D13-2007,FALSE),0)*AM13/AR13)</f>
        <v>0</v>
      </c>
      <c r="AR13">
        <f>IFERROR(VLOOKUP(CONCATENATE($C13,"-to lingot"),negchutes,$D13-2007,FALSE),0)</f>
        <v>0</v>
      </c>
      <c r="AS13">
        <f>IF(AR13=0,0,AP13*VLOOKUP(CONCATENATE($C13,"-ac massif"),negchutes,$D13-2007,FALSE))</f>
        <v>0</v>
      </c>
      <c r="AT13">
        <f>IF(AR13=0,0,AQ13*VLOOKUP(CONCATENATE($C13,"-ac copeaux"),negchutes,$D13-2007,FALSE))</f>
        <v>0</v>
      </c>
      <c r="AU13">
        <f t="shared" si="21"/>
        <v>0</v>
      </c>
      <c r="AV13">
        <f>IFERROR(VLOOKUP(CONCATENATE(C13,"-px lingot"),negchutes,D13-2007,FALSE),0)*AM13</f>
        <v>0</v>
      </c>
      <c r="AW13">
        <f>AN13*VLOOKUP("Marché 1",pxlingot,D13-2010,FALSE)</f>
        <v>0</v>
      </c>
      <c r="AX13">
        <f t="shared" si="34"/>
        <v>0</v>
      </c>
      <c r="AY13" t="str">
        <f t="shared" si="22"/>
        <v>VAR</v>
      </c>
      <c r="AZ13">
        <f t="shared" si="23"/>
        <v>242.61780374999998</v>
      </c>
      <c r="BA13">
        <f>MAX(VLOOKUP(VLOOKUP(C13,descmarche,28,FALSE),pxlingot,D13-2010,FALSE),AX13)</f>
        <v>0</v>
      </c>
      <c r="BB13">
        <f t="shared" si="35"/>
        <v>0</v>
      </c>
      <c r="BC13" t="str">
        <f t="shared" si="24"/>
        <v>SO</v>
      </c>
    </row>
    <row r="14" spans="1:55" x14ac:dyDescent="0.25">
      <c r="A14" t="s">
        <v>16</v>
      </c>
      <c r="B14" s="4" t="s">
        <v>42</v>
      </c>
      <c r="C14" t="str">
        <f t="shared" si="36"/>
        <v>UKTMP-01</v>
      </c>
      <c r="D14">
        <v>2023</v>
      </c>
      <c r="E14">
        <v>2345</v>
      </c>
      <c r="F14" t="str">
        <f t="shared" si="1"/>
        <v>Airbus pour AD</v>
      </c>
      <c r="G14" t="str">
        <f t="shared" si="2"/>
        <v>Contrat Airbus pour AD</v>
      </c>
      <c r="H14" t="str">
        <f t="shared" si="3"/>
        <v>Structure</v>
      </c>
      <c r="I14">
        <f t="shared" si="4"/>
        <v>5</v>
      </c>
      <c r="J14">
        <f t="shared" si="5"/>
        <v>1210</v>
      </c>
      <c r="K14">
        <f t="shared" si="6"/>
        <v>2345</v>
      </c>
      <c r="L14">
        <f t="shared" si="7"/>
        <v>2837.45</v>
      </c>
      <c r="M14">
        <f t="shared" si="8"/>
        <v>123.11249999999998</v>
      </c>
      <c r="N14">
        <f t="shared" si="9"/>
        <v>135.42374999999998</v>
      </c>
      <c r="O14" t="str">
        <f t="shared" si="10"/>
        <v>Marché 1</v>
      </c>
      <c r="P14">
        <f>VLOOKUP(O14,pxmassif,D14-2010,FALSE)*M14</f>
        <v>1538.9062499999998</v>
      </c>
      <c r="Q14">
        <f>VLOOKUP(O14,pxcopeau,D14-2010,FALSE)*N14</f>
        <v>1015.6781249999999</v>
      </c>
      <c r="R14" t="str">
        <f t="shared" si="11"/>
        <v>AD PAMIERS</v>
      </c>
      <c r="S14">
        <f t="shared" si="12"/>
        <v>289.60750000000002</v>
      </c>
      <c r="T14">
        <f t="shared" si="13"/>
        <v>75.977999999999994</v>
      </c>
      <c r="U14" t="str">
        <f t="shared" si="14"/>
        <v>Marché 1</v>
      </c>
      <c r="V14">
        <f>VLOOKUP(U14,pxmassif,$D14-2010,FALSE)*S14</f>
        <v>3620.09375</v>
      </c>
      <c r="W14">
        <f>VLOOKUP(U14,pxcopeau,$D14-2010,FALSE)*T14</f>
        <v>569.83499999999992</v>
      </c>
      <c r="X14" t="str">
        <f t="shared" si="15"/>
        <v>SO</v>
      </c>
      <c r="Y14">
        <f t="shared" si="16"/>
        <v>0</v>
      </c>
      <c r="Z14">
        <f t="shared" si="17"/>
        <v>0</v>
      </c>
      <c r="AA14" t="str">
        <f t="shared" si="18"/>
        <v>Marché 1</v>
      </c>
      <c r="AB14">
        <f>VLOOKUP(AA14,pxmassif,$D14-2010,FALSE)*Y14</f>
        <v>0</v>
      </c>
      <c r="AC14">
        <f>VLOOKUP(AA14,pxcopeau,$D14-2010,FALSE)*Z14</f>
        <v>0</v>
      </c>
      <c r="AD14">
        <f t="shared" si="25"/>
        <v>412.72</v>
      </c>
      <c r="AE14">
        <f t="shared" si="26"/>
        <v>211.40174999999999</v>
      </c>
      <c r="AF14">
        <f t="shared" si="27"/>
        <v>258.53625</v>
      </c>
      <c r="AG14">
        <f t="shared" si="28"/>
        <v>365.58550000000002</v>
      </c>
      <c r="AH14">
        <f t="shared" si="29"/>
        <v>0</v>
      </c>
      <c r="AI14">
        <f t="shared" si="30"/>
        <v>412.72</v>
      </c>
      <c r="AJ14">
        <f t="shared" si="31"/>
        <v>211.40174999999999</v>
      </c>
      <c r="AK14">
        <f t="shared" si="19"/>
        <v>605.44745975000001</v>
      </c>
      <c r="AL14">
        <f t="shared" si="20"/>
        <v>0</v>
      </c>
      <c r="AM14">
        <f>IFERROR(MIN(AL14,VLOOKUP(CONCATENATE(C14,"-to lingot"),negchutes,D14-2007,FALSE)),0)</f>
        <v>0</v>
      </c>
      <c r="AN14">
        <f t="shared" si="32"/>
        <v>0</v>
      </c>
      <c r="AO14" t="str">
        <f t="shared" si="33"/>
        <v>SO</v>
      </c>
      <c r="AP14">
        <f>IF(AR14=0,0,IFERROR(VLOOKUP(CONCATENATE($C14,"-to massif"),negchutes,$D14-2007,FALSE),0)*AM14/AR14)</f>
        <v>0</v>
      </c>
      <c r="AQ14">
        <f>IF(AR14=0,0,IFERROR(VLOOKUP(CONCATENATE($C14,"-to copeaux"),negchutes,$D14-2007,FALSE),0)*AM14/AR14)</f>
        <v>0</v>
      </c>
      <c r="AR14">
        <f>IFERROR(VLOOKUP(CONCATENATE($C14,"-to lingot"),negchutes,$D14-2007,FALSE),0)</f>
        <v>0</v>
      </c>
      <c r="AS14">
        <f>IF(AR14=0,0,AP14*VLOOKUP(CONCATENATE($C14,"-ac massif"),negchutes,$D14-2007,FALSE))</f>
        <v>0</v>
      </c>
      <c r="AT14">
        <f>IF(AR14=0,0,AQ14*VLOOKUP(CONCATENATE($C14,"-ac copeaux"),negchutes,$D14-2007,FALSE))</f>
        <v>0</v>
      </c>
      <c r="AU14">
        <f t="shared" si="21"/>
        <v>0</v>
      </c>
      <c r="AV14">
        <f>IFERROR(VLOOKUP(CONCATENATE(C14,"-px lingot"),negchutes,D14-2007,FALSE),0)*AM14</f>
        <v>0</v>
      </c>
      <c r="AW14">
        <f>AN14*VLOOKUP("Marché 1",pxlingot,D14-2010,FALSE)</f>
        <v>0</v>
      </c>
      <c r="AX14">
        <f t="shared" si="34"/>
        <v>0</v>
      </c>
      <c r="AY14" t="str">
        <f t="shared" si="22"/>
        <v>VAR</v>
      </c>
      <c r="AZ14">
        <f t="shared" si="23"/>
        <v>242.61780374999998</v>
      </c>
      <c r="BA14">
        <f>MAX(VLOOKUP(VLOOKUP(C14,descmarche,28,FALSE),pxlingot,D14-2010,FALSE),AX14)</f>
        <v>0</v>
      </c>
      <c r="BB14">
        <f t="shared" si="35"/>
        <v>0</v>
      </c>
      <c r="BC14" t="str">
        <f t="shared" si="24"/>
        <v>SO</v>
      </c>
    </row>
    <row r="15" spans="1:55" x14ac:dyDescent="0.25">
      <c r="A15" t="s">
        <v>16</v>
      </c>
      <c r="B15" s="4" t="s">
        <v>42</v>
      </c>
      <c r="C15" t="str">
        <f t="shared" si="36"/>
        <v>UKTMP-01</v>
      </c>
      <c r="D15">
        <v>2024</v>
      </c>
      <c r="E15">
        <v>2345</v>
      </c>
      <c r="F15" t="str">
        <f t="shared" si="1"/>
        <v>Airbus pour AD</v>
      </c>
      <c r="G15" t="str">
        <f t="shared" si="2"/>
        <v>Contrat Airbus pour AD</v>
      </c>
      <c r="H15" t="str">
        <f t="shared" si="3"/>
        <v>Structure</v>
      </c>
      <c r="I15">
        <f t="shared" si="4"/>
        <v>5</v>
      </c>
      <c r="J15">
        <f t="shared" si="5"/>
        <v>1210</v>
      </c>
      <c r="K15">
        <f t="shared" si="6"/>
        <v>2345</v>
      </c>
      <c r="L15">
        <f t="shared" si="7"/>
        <v>2837.45</v>
      </c>
      <c r="M15">
        <f t="shared" si="8"/>
        <v>123.11249999999998</v>
      </c>
      <c r="N15">
        <f t="shared" si="9"/>
        <v>135.42374999999998</v>
      </c>
      <c r="O15" t="str">
        <f t="shared" si="10"/>
        <v>Marché 1</v>
      </c>
      <c r="P15">
        <f>VLOOKUP(O15,pxmassif,D15-2010,FALSE)*M15</f>
        <v>1538.9062499999998</v>
      </c>
      <c r="Q15">
        <f>VLOOKUP(O15,pxcopeau,D15-2010,FALSE)*N15</f>
        <v>1015.6781249999999</v>
      </c>
      <c r="R15" t="str">
        <f t="shared" si="11"/>
        <v>AD PAMIERS</v>
      </c>
      <c r="S15">
        <f t="shared" si="12"/>
        <v>289.60750000000002</v>
      </c>
      <c r="T15">
        <f t="shared" si="13"/>
        <v>75.977999999999994</v>
      </c>
      <c r="U15" t="str">
        <f t="shared" si="14"/>
        <v>Marché 1</v>
      </c>
      <c r="V15">
        <f>VLOOKUP(U15,pxmassif,$D15-2010,FALSE)*S15</f>
        <v>3620.09375</v>
      </c>
      <c r="W15">
        <f>VLOOKUP(U15,pxcopeau,$D15-2010,FALSE)*T15</f>
        <v>569.83499999999992</v>
      </c>
      <c r="X15" t="str">
        <f t="shared" si="15"/>
        <v>SO</v>
      </c>
      <c r="Y15">
        <f t="shared" si="16"/>
        <v>0</v>
      </c>
      <c r="Z15">
        <f t="shared" si="17"/>
        <v>0</v>
      </c>
      <c r="AA15" t="str">
        <f t="shared" si="18"/>
        <v>Marché 1</v>
      </c>
      <c r="AB15">
        <f>VLOOKUP(AA15,pxmassif,$D15-2010,FALSE)*Y15</f>
        <v>0</v>
      </c>
      <c r="AC15">
        <f>VLOOKUP(AA15,pxcopeau,$D15-2010,FALSE)*Z15</f>
        <v>0</v>
      </c>
      <c r="AD15">
        <f t="shared" si="25"/>
        <v>412.72</v>
      </c>
      <c r="AE15">
        <f t="shared" si="26"/>
        <v>211.40174999999999</v>
      </c>
      <c r="AF15">
        <f t="shared" si="27"/>
        <v>258.53625</v>
      </c>
      <c r="AG15">
        <f t="shared" si="28"/>
        <v>365.58550000000002</v>
      </c>
      <c r="AH15">
        <f t="shared" si="29"/>
        <v>0</v>
      </c>
      <c r="AI15">
        <f t="shared" si="30"/>
        <v>412.72</v>
      </c>
      <c r="AJ15">
        <f t="shared" si="31"/>
        <v>211.40174999999999</v>
      </c>
      <c r="AK15">
        <f t="shared" si="19"/>
        <v>605.44745975000001</v>
      </c>
      <c r="AL15">
        <f t="shared" si="20"/>
        <v>0</v>
      </c>
      <c r="AM15">
        <f>IFERROR(MIN(AL15,VLOOKUP(CONCATENATE(C15,"-to lingot"),negchutes,D15-2007,FALSE)),0)</f>
        <v>0</v>
      </c>
      <c r="AN15">
        <f t="shared" si="32"/>
        <v>0</v>
      </c>
      <c r="AO15" t="str">
        <f t="shared" si="33"/>
        <v>SO</v>
      </c>
      <c r="AP15">
        <f>IF(AR15=0,0,IFERROR(VLOOKUP(CONCATENATE($C15,"-to massif"),negchutes,$D15-2007,FALSE),0)*AM15/AR15)</f>
        <v>0</v>
      </c>
      <c r="AQ15">
        <f>IF(AR15=0,0,IFERROR(VLOOKUP(CONCATENATE($C15,"-to copeaux"),negchutes,$D15-2007,FALSE),0)*AM15/AR15)</f>
        <v>0</v>
      </c>
      <c r="AR15">
        <f>IFERROR(VLOOKUP(CONCATENATE($C15,"-to lingot"),negchutes,$D15-2007,FALSE),0)</f>
        <v>0</v>
      </c>
      <c r="AS15">
        <f>IF(AR15=0,0,AP15*VLOOKUP(CONCATENATE($C15,"-ac massif"),negchutes,$D15-2007,FALSE))</f>
        <v>0</v>
      </c>
      <c r="AT15">
        <f>IF(AR15=0,0,AQ15*VLOOKUP(CONCATENATE($C15,"-ac copeaux"),negchutes,$D15-2007,FALSE))</f>
        <v>0</v>
      </c>
      <c r="AU15">
        <f t="shared" si="21"/>
        <v>0</v>
      </c>
      <c r="AV15">
        <f>IFERROR(VLOOKUP(CONCATENATE(C15,"-px lingot"),negchutes,D15-2007,FALSE),0)*AM15</f>
        <v>0</v>
      </c>
      <c r="AW15">
        <f>AN15*VLOOKUP("Marché 1",pxlingot,D15-2010,FALSE)</f>
        <v>0</v>
      </c>
      <c r="AX15">
        <f t="shared" si="34"/>
        <v>0</v>
      </c>
      <c r="AY15" t="str">
        <f t="shared" si="22"/>
        <v>VAR</v>
      </c>
      <c r="AZ15">
        <f t="shared" si="23"/>
        <v>242.61780374999998</v>
      </c>
      <c r="BA15">
        <f>MAX(VLOOKUP(VLOOKUP(C15,descmarche,28,FALSE),pxlingot,D15-2010,FALSE),AX15)</f>
        <v>0</v>
      </c>
      <c r="BB15">
        <f t="shared" si="35"/>
        <v>0</v>
      </c>
      <c r="BC15" t="str">
        <f t="shared" si="24"/>
        <v>SO</v>
      </c>
    </row>
    <row r="16" spans="1:55" x14ac:dyDescent="0.25">
      <c r="A16" t="s">
        <v>16</v>
      </c>
      <c r="B16" s="4" t="s">
        <v>43</v>
      </c>
      <c r="C16" t="str">
        <f t="shared" si="36"/>
        <v>UKTMP-02</v>
      </c>
      <c r="D16">
        <v>2012</v>
      </c>
      <c r="E16">
        <v>0</v>
      </c>
      <c r="F16" t="str">
        <f t="shared" si="1"/>
        <v>Airbus hors AD</v>
      </c>
      <c r="G16" t="str">
        <f t="shared" si="2"/>
        <v>Contrat Airbus Fasteners hors AD</v>
      </c>
      <c r="H16">
        <f t="shared" si="3"/>
        <v>0</v>
      </c>
      <c r="I16">
        <f t="shared" si="4"/>
        <v>5</v>
      </c>
      <c r="J16">
        <f t="shared" si="5"/>
        <v>1160</v>
      </c>
      <c r="K16">
        <f t="shared" si="6"/>
        <v>0</v>
      </c>
      <c r="L16">
        <f t="shared" si="7"/>
        <v>0</v>
      </c>
      <c r="M16">
        <f t="shared" si="8"/>
        <v>0</v>
      </c>
      <c r="N16">
        <f t="shared" si="9"/>
        <v>0</v>
      </c>
      <c r="O16" t="str">
        <f t="shared" si="10"/>
        <v>Marché 1</v>
      </c>
      <c r="P16">
        <f>VLOOKUP(O16,pxmassif,D16-2010,FALSE)*M16</f>
        <v>0</v>
      </c>
      <c r="Q16">
        <f>VLOOKUP(O16,pxcopeau,D16-2010,FALSE)*N16</f>
        <v>0</v>
      </c>
      <c r="R16" t="str">
        <f t="shared" si="11"/>
        <v>SO</v>
      </c>
      <c r="S16">
        <f t="shared" si="12"/>
        <v>0</v>
      </c>
      <c r="T16">
        <f t="shared" si="13"/>
        <v>0</v>
      </c>
      <c r="U16" t="str">
        <f t="shared" si="14"/>
        <v>Marché 1</v>
      </c>
      <c r="V16">
        <f>VLOOKUP(U16,pxmassif,$D16-2010,FALSE)*S16</f>
        <v>0</v>
      </c>
      <c r="W16">
        <f>VLOOKUP(U16,pxcopeau,$D16-2010,FALSE)*T16</f>
        <v>0</v>
      </c>
      <c r="X16" t="str">
        <f t="shared" si="15"/>
        <v>SO</v>
      </c>
      <c r="Y16">
        <f t="shared" si="16"/>
        <v>0</v>
      </c>
      <c r="Z16">
        <f t="shared" si="17"/>
        <v>0</v>
      </c>
      <c r="AA16" t="str">
        <f t="shared" si="18"/>
        <v>Marché 1</v>
      </c>
      <c r="AB16">
        <f>VLOOKUP(AA16,pxmassif,$D16-2010,FALSE)*Y16</f>
        <v>0</v>
      </c>
      <c r="AC16">
        <f>VLOOKUP(AA16,pxcopeau,$D16-2010,FALSE)*Z16</f>
        <v>0</v>
      </c>
      <c r="AD16">
        <f t="shared" si="25"/>
        <v>0</v>
      </c>
      <c r="AE16">
        <f t="shared" si="26"/>
        <v>0</v>
      </c>
      <c r="AF16">
        <f t="shared" si="27"/>
        <v>0</v>
      </c>
      <c r="AG16">
        <f t="shared" si="28"/>
        <v>0</v>
      </c>
      <c r="AH16">
        <f t="shared" si="29"/>
        <v>0</v>
      </c>
      <c r="AI16">
        <f t="shared" si="30"/>
        <v>0</v>
      </c>
      <c r="AJ16">
        <f t="shared" si="31"/>
        <v>0</v>
      </c>
      <c r="AK16">
        <f t="shared" si="19"/>
        <v>0</v>
      </c>
      <c r="AL16">
        <f t="shared" si="20"/>
        <v>0</v>
      </c>
      <c r="AM16">
        <f>IFERROR(MIN(AL16,VLOOKUP(CONCATENATE(C16,"-to lingot"),negchutes,D16-2007,FALSE)),0)</f>
        <v>0</v>
      </c>
      <c r="AN16">
        <f t="shared" si="32"/>
        <v>0</v>
      </c>
      <c r="AO16" t="str">
        <f t="shared" si="33"/>
        <v>SO</v>
      </c>
      <c r="AP16">
        <f>IF(AR16=0,0,IFERROR(VLOOKUP(CONCATENATE($C16,"-to massif"),negchutes,$D16-2007,FALSE),0)*AM16/AR16)</f>
        <v>0</v>
      </c>
      <c r="AQ16">
        <f>IF(AR16=0,0,IFERROR(VLOOKUP(CONCATENATE($C16,"-to copeaux"),negchutes,$D16-2007,FALSE),0)*AM16/AR16)</f>
        <v>0</v>
      </c>
      <c r="AR16">
        <f>IFERROR(VLOOKUP(CONCATENATE($C16,"-to lingot"),negchutes,$D16-2007,FALSE),0)</f>
        <v>0</v>
      </c>
      <c r="AS16">
        <f>IF(AR16=0,0,AP16*VLOOKUP(CONCATENATE($C16,"-ac massif"),negchutes,$D16-2007,FALSE))</f>
        <v>0</v>
      </c>
      <c r="AT16">
        <f>IF(AR16=0,0,AQ16*VLOOKUP(CONCATENATE($C16,"-ac copeaux"),negchutes,$D16-2007,FALSE))</f>
        <v>0</v>
      </c>
      <c r="AU16">
        <f t="shared" si="21"/>
        <v>0</v>
      </c>
      <c r="AV16">
        <f>IFERROR(VLOOKUP(CONCATENATE(C16,"-px lingot"),negchutes,D16-2007,FALSE),0)*AM16</f>
        <v>0</v>
      </c>
      <c r="AW16">
        <f>AN16*VLOOKUP("Marché 1",pxlingot,D16-2010,FALSE)</f>
        <v>0</v>
      </c>
      <c r="AX16">
        <f t="shared" si="34"/>
        <v>0</v>
      </c>
      <c r="AY16" t="str">
        <f t="shared" si="22"/>
        <v>VAR</v>
      </c>
      <c r="AZ16">
        <f t="shared" si="23"/>
        <v>0</v>
      </c>
      <c r="BA16">
        <f>MAX(VLOOKUP(VLOOKUP(C16,descmarche,28,FALSE),pxlingot,D16-2010,FALSE),AX16)</f>
        <v>0</v>
      </c>
      <c r="BB16">
        <f t="shared" si="35"/>
        <v>0</v>
      </c>
      <c r="BC16" t="str">
        <f t="shared" si="24"/>
        <v>SO</v>
      </c>
    </row>
    <row r="17" spans="1:55" x14ac:dyDescent="0.25">
      <c r="A17" t="s">
        <v>16</v>
      </c>
      <c r="B17" s="4" t="s">
        <v>43</v>
      </c>
      <c r="C17" t="str">
        <f>CONCATENATE(A17,"-",B17)</f>
        <v>UKTMP-02</v>
      </c>
      <c r="D17">
        <v>2013</v>
      </c>
      <c r="E17">
        <v>775</v>
      </c>
      <c r="F17" t="str">
        <f t="shared" si="1"/>
        <v>Airbus hors AD</v>
      </c>
      <c r="G17" t="str">
        <f t="shared" si="2"/>
        <v>Contrat Airbus Fasteners hors AD</v>
      </c>
      <c r="H17">
        <f t="shared" si="3"/>
        <v>0</v>
      </c>
      <c r="I17">
        <f t="shared" si="4"/>
        <v>5</v>
      </c>
      <c r="J17">
        <f t="shared" si="5"/>
        <v>1160</v>
      </c>
      <c r="K17">
        <f t="shared" si="6"/>
        <v>775</v>
      </c>
      <c r="L17">
        <f t="shared" si="7"/>
        <v>898.99999999999989</v>
      </c>
      <c r="M17">
        <f t="shared" si="8"/>
        <v>49.59999999999998</v>
      </c>
      <c r="N17">
        <f t="shared" si="9"/>
        <v>0</v>
      </c>
      <c r="O17" t="str">
        <f t="shared" si="10"/>
        <v>Marché 1</v>
      </c>
      <c r="P17">
        <f>VLOOKUP(O17,pxmassif,D17-2010,FALSE)*M17</f>
        <v>619.99999999999977</v>
      </c>
      <c r="Q17">
        <f>VLOOKUP(O17,pxcopeau,D17-2010,FALSE)*N17</f>
        <v>0</v>
      </c>
      <c r="R17" t="str">
        <f t="shared" si="11"/>
        <v>SO</v>
      </c>
      <c r="S17">
        <f t="shared" si="12"/>
        <v>0</v>
      </c>
      <c r="T17">
        <f t="shared" si="13"/>
        <v>0</v>
      </c>
      <c r="U17" t="str">
        <f t="shared" si="14"/>
        <v>Marché 1</v>
      </c>
      <c r="V17">
        <f>VLOOKUP(U17,pxmassif,$D17-2010,FALSE)*S17</f>
        <v>0</v>
      </c>
      <c r="W17">
        <f>VLOOKUP(U17,pxcopeau,$D17-2010,FALSE)*T17</f>
        <v>0</v>
      </c>
      <c r="X17" t="str">
        <f t="shared" si="15"/>
        <v>SO</v>
      </c>
      <c r="Y17">
        <f t="shared" si="16"/>
        <v>0</v>
      </c>
      <c r="Z17">
        <f t="shared" si="17"/>
        <v>0</v>
      </c>
      <c r="AA17" t="str">
        <f t="shared" si="18"/>
        <v>Marché 1</v>
      </c>
      <c r="AB17">
        <f>VLOOKUP(AA17,pxmassif,$D17-2010,FALSE)*Y17</f>
        <v>0</v>
      </c>
      <c r="AC17">
        <f>VLOOKUP(AA17,pxcopeau,$D17-2010,FALSE)*Z17</f>
        <v>0</v>
      </c>
      <c r="AD17">
        <f t="shared" si="25"/>
        <v>49.59999999999998</v>
      </c>
      <c r="AE17">
        <f t="shared" si="26"/>
        <v>0</v>
      </c>
      <c r="AF17">
        <f t="shared" si="27"/>
        <v>49.59999999999998</v>
      </c>
      <c r="AG17">
        <f t="shared" si="28"/>
        <v>0</v>
      </c>
      <c r="AH17">
        <f t="shared" si="29"/>
        <v>0</v>
      </c>
      <c r="AI17">
        <f t="shared" si="30"/>
        <v>49.59999999999998</v>
      </c>
      <c r="AJ17">
        <f t="shared" si="31"/>
        <v>0</v>
      </c>
      <c r="AK17">
        <f t="shared" si="19"/>
        <v>50.988799999999983</v>
      </c>
      <c r="AL17">
        <f t="shared" si="20"/>
        <v>0</v>
      </c>
      <c r="AM17">
        <f>IFERROR(MIN(AL17,VLOOKUP(CONCATENATE(C17,"-to lingot"),negchutes,D17-2007,FALSE)),0)</f>
        <v>0</v>
      </c>
      <c r="AN17">
        <f t="shared" si="32"/>
        <v>0</v>
      </c>
      <c r="AO17" t="str">
        <f t="shared" si="33"/>
        <v>SO</v>
      </c>
      <c r="AP17">
        <f>IF(AR17=0,0,IFERROR(VLOOKUP(CONCATENATE($C17,"-to massif"),negchutes,$D17-2007,FALSE),0)*AM17/AR17)</f>
        <v>0</v>
      </c>
      <c r="AQ17">
        <f>IF(AR17=0,0,IFERROR(VLOOKUP(CONCATENATE($C17,"-to copeaux"),negchutes,$D17-2007,FALSE),0)*AM17/AR17)</f>
        <v>0</v>
      </c>
      <c r="AR17">
        <f>IFERROR(VLOOKUP(CONCATENATE($C17,"-to lingot"),negchutes,$D17-2007,FALSE),0)</f>
        <v>0</v>
      </c>
      <c r="AS17">
        <f>IF(AR17=0,0,AP17*VLOOKUP(CONCATENATE($C17,"-ac massif"),negchutes,$D17-2007,FALSE))</f>
        <v>0</v>
      </c>
      <c r="AT17">
        <f>IF(AR17=0,0,AQ17*VLOOKUP(CONCATENATE($C17,"-ac copeaux"),negchutes,$D17-2007,FALSE))</f>
        <v>0</v>
      </c>
      <c r="AU17">
        <f t="shared" si="21"/>
        <v>0</v>
      </c>
      <c r="AV17">
        <f>IFERROR(VLOOKUP(CONCATENATE(C17,"-px lingot"),negchutes,D17-2007,FALSE),0)*AM17</f>
        <v>0</v>
      </c>
      <c r="AW17">
        <f>AN17*VLOOKUP("Marché 1",pxlingot,D17-2010,FALSE)</f>
        <v>0</v>
      </c>
      <c r="AX17">
        <f t="shared" si="34"/>
        <v>0</v>
      </c>
      <c r="AY17" t="str">
        <f t="shared" si="22"/>
        <v>VAR</v>
      </c>
      <c r="AZ17">
        <f t="shared" si="23"/>
        <v>50.988799999999983</v>
      </c>
      <c r="BA17">
        <f>MAX(VLOOKUP(VLOOKUP(C17,descmarche,28,FALSE),pxlingot,D17-2010,FALSE),AX17)</f>
        <v>0</v>
      </c>
      <c r="BB17">
        <f t="shared" si="35"/>
        <v>0</v>
      </c>
      <c r="BC17" t="str">
        <f t="shared" si="24"/>
        <v>SO</v>
      </c>
    </row>
    <row r="18" spans="1:55" x14ac:dyDescent="0.25">
      <c r="A18" t="s">
        <v>16</v>
      </c>
      <c r="B18" s="4" t="s">
        <v>43</v>
      </c>
      <c r="C18" t="str">
        <f>CONCATENATE(A18,"-",B18)</f>
        <v>UKTMP-02</v>
      </c>
      <c r="D18">
        <v>2014</v>
      </c>
      <c r="E18">
        <v>906</v>
      </c>
      <c r="F18" t="str">
        <f t="shared" si="1"/>
        <v>Airbus hors AD</v>
      </c>
      <c r="G18" t="str">
        <f t="shared" si="2"/>
        <v>Contrat Airbus Fasteners hors AD</v>
      </c>
      <c r="H18">
        <f t="shared" si="3"/>
        <v>0</v>
      </c>
      <c r="I18">
        <f t="shared" si="4"/>
        <v>5</v>
      </c>
      <c r="J18">
        <f t="shared" si="5"/>
        <v>1160</v>
      </c>
      <c r="K18">
        <f t="shared" si="6"/>
        <v>906</v>
      </c>
      <c r="L18">
        <f t="shared" si="7"/>
        <v>1050.96</v>
      </c>
      <c r="M18">
        <f t="shared" si="8"/>
        <v>57.983999999999973</v>
      </c>
      <c r="N18">
        <f t="shared" si="9"/>
        <v>0</v>
      </c>
      <c r="O18" t="str">
        <f t="shared" si="10"/>
        <v>Marché 1</v>
      </c>
      <c r="P18">
        <f>VLOOKUP(O18,pxmassif,D18-2010,FALSE)*M18</f>
        <v>724.79999999999961</v>
      </c>
      <c r="Q18">
        <f>VLOOKUP(O18,pxcopeau,D18-2010,FALSE)*N18</f>
        <v>0</v>
      </c>
      <c r="R18" t="str">
        <f t="shared" si="11"/>
        <v>SO</v>
      </c>
      <c r="S18">
        <f t="shared" si="12"/>
        <v>0</v>
      </c>
      <c r="T18">
        <f t="shared" si="13"/>
        <v>0</v>
      </c>
      <c r="U18" t="str">
        <f t="shared" si="14"/>
        <v>Marché 1</v>
      </c>
      <c r="V18">
        <f>VLOOKUP(U18,pxmassif,$D18-2010,FALSE)*S18</f>
        <v>0</v>
      </c>
      <c r="W18">
        <f>VLOOKUP(U18,pxcopeau,$D18-2010,FALSE)*T18</f>
        <v>0</v>
      </c>
      <c r="X18" t="str">
        <f t="shared" si="15"/>
        <v>SO</v>
      </c>
      <c r="Y18">
        <f t="shared" si="16"/>
        <v>0</v>
      </c>
      <c r="Z18">
        <f t="shared" si="17"/>
        <v>0</v>
      </c>
      <c r="AA18" t="str">
        <f t="shared" si="18"/>
        <v>Marché 1</v>
      </c>
      <c r="AB18">
        <f>VLOOKUP(AA18,pxmassif,$D18-2010,FALSE)*Y18</f>
        <v>0</v>
      </c>
      <c r="AC18">
        <f>VLOOKUP(AA18,pxcopeau,$D18-2010,FALSE)*Z18</f>
        <v>0</v>
      </c>
      <c r="AD18">
        <f t="shared" si="25"/>
        <v>57.983999999999973</v>
      </c>
      <c r="AE18">
        <f t="shared" si="26"/>
        <v>0</v>
      </c>
      <c r="AF18">
        <f t="shared" si="27"/>
        <v>57.983999999999973</v>
      </c>
      <c r="AG18">
        <f t="shared" si="28"/>
        <v>0</v>
      </c>
      <c r="AH18">
        <f t="shared" si="29"/>
        <v>0</v>
      </c>
      <c r="AI18">
        <f t="shared" si="30"/>
        <v>57.983999999999973</v>
      </c>
      <c r="AJ18">
        <f t="shared" si="31"/>
        <v>0</v>
      </c>
      <c r="AK18">
        <f t="shared" si="19"/>
        <v>59.607551999999977</v>
      </c>
      <c r="AL18">
        <f t="shared" si="20"/>
        <v>0</v>
      </c>
      <c r="AM18">
        <f>IFERROR(MIN(AL18,VLOOKUP(CONCATENATE(C18,"-to lingot"),negchutes,D18-2007,FALSE)),0)</f>
        <v>0</v>
      </c>
      <c r="AN18">
        <f t="shared" si="32"/>
        <v>0</v>
      </c>
      <c r="AO18" t="str">
        <f t="shared" si="33"/>
        <v>SO</v>
      </c>
      <c r="AP18">
        <f>IF(AR18=0,0,IFERROR(VLOOKUP(CONCATENATE($C18,"-to massif"),negchutes,$D18-2007,FALSE),0)*AM18/AR18)</f>
        <v>0</v>
      </c>
      <c r="AQ18">
        <f>IF(AR18=0,0,IFERROR(VLOOKUP(CONCATENATE($C18,"-to copeaux"),negchutes,$D18-2007,FALSE),0)*AM18/AR18)</f>
        <v>0</v>
      </c>
      <c r="AR18">
        <f>IFERROR(VLOOKUP(CONCATENATE($C18,"-to lingot"),negchutes,$D18-2007,FALSE),0)</f>
        <v>0</v>
      </c>
      <c r="AS18">
        <f>IF(AR18=0,0,AP18*VLOOKUP(CONCATENATE($C18,"-ac massif"),negchutes,$D18-2007,FALSE))</f>
        <v>0</v>
      </c>
      <c r="AT18">
        <f>IF(AR18=0,0,AQ18*VLOOKUP(CONCATENATE($C18,"-ac copeaux"),negchutes,$D18-2007,FALSE))</f>
        <v>0</v>
      </c>
      <c r="AU18">
        <f t="shared" si="21"/>
        <v>0</v>
      </c>
      <c r="AV18">
        <f>IFERROR(VLOOKUP(CONCATENATE(C18,"-px lingot"),negchutes,D18-2007,FALSE),0)*AM18</f>
        <v>0</v>
      </c>
      <c r="AW18">
        <f>AN18*VLOOKUP("Marché 1",pxlingot,D18-2010,FALSE)</f>
        <v>0</v>
      </c>
      <c r="AX18">
        <f t="shared" si="34"/>
        <v>0</v>
      </c>
      <c r="AY18" t="str">
        <f t="shared" si="22"/>
        <v>VAR</v>
      </c>
      <c r="AZ18">
        <f t="shared" si="23"/>
        <v>59.607551999999977</v>
      </c>
      <c r="BA18">
        <f>MAX(VLOOKUP(VLOOKUP(C18,descmarche,28,FALSE),pxlingot,D18-2010,FALSE),AX18)</f>
        <v>0</v>
      </c>
      <c r="BB18">
        <f t="shared" si="35"/>
        <v>0</v>
      </c>
      <c r="BC18" t="str">
        <f t="shared" si="24"/>
        <v>SO</v>
      </c>
    </row>
    <row r="19" spans="1:55" x14ac:dyDescent="0.25">
      <c r="A19" t="s">
        <v>16</v>
      </c>
      <c r="B19" s="4" t="s">
        <v>43</v>
      </c>
      <c r="C19" t="str">
        <f t="shared" ref="C19:C30" si="37">CONCATENATE(A19,"-",B19)</f>
        <v>UKTMP-02</v>
      </c>
      <c r="D19">
        <v>2015</v>
      </c>
      <c r="E19">
        <v>1011</v>
      </c>
      <c r="F19" t="str">
        <f t="shared" si="1"/>
        <v>Airbus hors AD</v>
      </c>
      <c r="G19" t="str">
        <f t="shared" si="2"/>
        <v>Contrat Airbus Fasteners hors AD</v>
      </c>
      <c r="H19">
        <f t="shared" si="3"/>
        <v>0</v>
      </c>
      <c r="I19">
        <f t="shared" si="4"/>
        <v>5</v>
      </c>
      <c r="J19">
        <f t="shared" si="5"/>
        <v>1160</v>
      </c>
      <c r="K19">
        <f t="shared" si="6"/>
        <v>1011</v>
      </c>
      <c r="L19">
        <f t="shared" si="7"/>
        <v>1172.76</v>
      </c>
      <c r="M19">
        <f t="shared" si="8"/>
        <v>64.703999999999979</v>
      </c>
      <c r="N19">
        <f t="shared" si="9"/>
        <v>0</v>
      </c>
      <c r="O19" t="str">
        <f t="shared" si="10"/>
        <v>Marché 1</v>
      </c>
      <c r="P19">
        <f>VLOOKUP(O19,pxmassif,D19-2010,FALSE)*M19</f>
        <v>808.79999999999973</v>
      </c>
      <c r="Q19">
        <f>VLOOKUP(O19,pxcopeau,D19-2010,FALSE)*N19</f>
        <v>0</v>
      </c>
      <c r="R19" t="str">
        <f t="shared" si="11"/>
        <v>SO</v>
      </c>
      <c r="S19">
        <f t="shared" si="12"/>
        <v>0</v>
      </c>
      <c r="T19">
        <f t="shared" si="13"/>
        <v>0</v>
      </c>
      <c r="U19" t="str">
        <f t="shared" si="14"/>
        <v>Marché 1</v>
      </c>
      <c r="V19">
        <f>VLOOKUP(U19,pxmassif,$D19-2010,FALSE)*S19</f>
        <v>0</v>
      </c>
      <c r="W19">
        <f>VLOOKUP(U19,pxcopeau,$D19-2010,FALSE)*T19</f>
        <v>0</v>
      </c>
      <c r="X19" t="str">
        <f t="shared" si="15"/>
        <v>SO</v>
      </c>
      <c r="Y19">
        <f t="shared" si="16"/>
        <v>0</v>
      </c>
      <c r="Z19">
        <f t="shared" si="17"/>
        <v>0</v>
      </c>
      <c r="AA19" t="str">
        <f t="shared" si="18"/>
        <v>Marché 1</v>
      </c>
      <c r="AB19">
        <f>VLOOKUP(AA19,pxmassif,$D19-2010,FALSE)*Y19</f>
        <v>0</v>
      </c>
      <c r="AC19">
        <f>VLOOKUP(AA19,pxcopeau,$D19-2010,FALSE)*Z19</f>
        <v>0</v>
      </c>
      <c r="AD19">
        <f t="shared" si="25"/>
        <v>64.703999999999979</v>
      </c>
      <c r="AE19">
        <f t="shared" si="26"/>
        <v>0</v>
      </c>
      <c r="AF19">
        <f t="shared" si="27"/>
        <v>64.703999999999979</v>
      </c>
      <c r="AG19">
        <f t="shared" si="28"/>
        <v>0</v>
      </c>
      <c r="AH19">
        <f t="shared" si="29"/>
        <v>0</v>
      </c>
      <c r="AI19">
        <f t="shared" si="30"/>
        <v>64.703999999999979</v>
      </c>
      <c r="AJ19">
        <f t="shared" si="31"/>
        <v>0</v>
      </c>
      <c r="AK19">
        <f t="shared" si="19"/>
        <v>66.515711999999979</v>
      </c>
      <c r="AL19">
        <f t="shared" si="20"/>
        <v>0</v>
      </c>
      <c r="AM19">
        <f>IFERROR(MIN(AL19,VLOOKUP(CONCATENATE(C19,"-to lingot"),negchutes,D19-2007,FALSE)),0)</f>
        <v>0</v>
      </c>
      <c r="AN19">
        <f t="shared" si="32"/>
        <v>0</v>
      </c>
      <c r="AO19" t="str">
        <f t="shared" si="33"/>
        <v>SO</v>
      </c>
      <c r="AP19">
        <f>IF(AR19=0,0,IFERROR(VLOOKUP(CONCATENATE($C19,"-to massif"),negchutes,$D19-2007,FALSE),0)*AM19/AR19)</f>
        <v>0</v>
      </c>
      <c r="AQ19">
        <f>IF(AR19=0,0,IFERROR(VLOOKUP(CONCATENATE($C19,"-to copeaux"),negchutes,$D19-2007,FALSE),0)*AM19/AR19)</f>
        <v>0</v>
      </c>
      <c r="AR19">
        <f>IFERROR(VLOOKUP(CONCATENATE($C19,"-to lingot"),negchutes,$D19-2007,FALSE),0)</f>
        <v>0</v>
      </c>
      <c r="AS19">
        <f>IF(AR19=0,0,AP19*VLOOKUP(CONCATENATE($C19,"-ac massif"),negchutes,$D19-2007,FALSE))</f>
        <v>0</v>
      </c>
      <c r="AT19">
        <f>IF(AR19=0,0,AQ19*VLOOKUP(CONCATENATE($C19,"-ac copeaux"),negchutes,$D19-2007,FALSE))</f>
        <v>0</v>
      </c>
      <c r="AU19">
        <f t="shared" si="21"/>
        <v>0</v>
      </c>
      <c r="AV19">
        <f>IFERROR(VLOOKUP(CONCATENATE(C19,"-px lingot"),negchutes,D19-2007,FALSE),0)*AM19</f>
        <v>0</v>
      </c>
      <c r="AW19">
        <f>AN19*VLOOKUP("Marché 1",pxlingot,D19-2010,FALSE)</f>
        <v>0</v>
      </c>
      <c r="AX19">
        <f t="shared" si="34"/>
        <v>0</v>
      </c>
      <c r="AY19" t="str">
        <f t="shared" si="22"/>
        <v>VAR</v>
      </c>
      <c r="AZ19">
        <f t="shared" si="23"/>
        <v>66.515711999999979</v>
      </c>
      <c r="BA19">
        <f>MAX(VLOOKUP(VLOOKUP(C19,descmarche,28,FALSE),pxlingot,D19-2010,FALSE),AX19)</f>
        <v>0</v>
      </c>
      <c r="BB19">
        <f t="shared" si="35"/>
        <v>0</v>
      </c>
      <c r="BC19" t="str">
        <f t="shared" si="24"/>
        <v>SO</v>
      </c>
    </row>
    <row r="20" spans="1:55" x14ac:dyDescent="0.25">
      <c r="A20" t="s">
        <v>16</v>
      </c>
      <c r="B20" s="4" t="s">
        <v>43</v>
      </c>
      <c r="C20" t="str">
        <f t="shared" si="37"/>
        <v>UKTMP-02</v>
      </c>
      <c r="D20">
        <v>2016</v>
      </c>
      <c r="E20">
        <v>1011</v>
      </c>
      <c r="F20" t="str">
        <f t="shared" si="1"/>
        <v>Airbus hors AD</v>
      </c>
      <c r="G20" t="str">
        <f t="shared" si="2"/>
        <v>Contrat Airbus Fasteners hors AD</v>
      </c>
      <c r="H20">
        <f t="shared" si="3"/>
        <v>0</v>
      </c>
      <c r="I20">
        <f t="shared" si="4"/>
        <v>5</v>
      </c>
      <c r="J20">
        <f t="shared" si="5"/>
        <v>1160</v>
      </c>
      <c r="K20">
        <f t="shared" si="6"/>
        <v>1011</v>
      </c>
      <c r="L20">
        <f t="shared" si="7"/>
        <v>1172.76</v>
      </c>
      <c r="M20">
        <f t="shared" si="8"/>
        <v>64.703999999999979</v>
      </c>
      <c r="N20">
        <f t="shared" si="9"/>
        <v>0</v>
      </c>
      <c r="O20" t="str">
        <f t="shared" si="10"/>
        <v>Marché 1</v>
      </c>
      <c r="P20">
        <f>VLOOKUP(O20,pxmassif,D20-2010,FALSE)*M20</f>
        <v>808.79999999999973</v>
      </c>
      <c r="Q20">
        <f>VLOOKUP(O20,pxcopeau,D20-2010,FALSE)*N20</f>
        <v>0</v>
      </c>
      <c r="R20" t="str">
        <f t="shared" si="11"/>
        <v>SO</v>
      </c>
      <c r="S20">
        <f t="shared" si="12"/>
        <v>0</v>
      </c>
      <c r="T20">
        <f t="shared" si="13"/>
        <v>0</v>
      </c>
      <c r="U20" t="str">
        <f t="shared" si="14"/>
        <v>Marché 1</v>
      </c>
      <c r="V20">
        <f>VLOOKUP(U20,pxmassif,$D20-2010,FALSE)*S20</f>
        <v>0</v>
      </c>
      <c r="W20">
        <f>VLOOKUP(U20,pxcopeau,$D20-2010,FALSE)*T20</f>
        <v>0</v>
      </c>
      <c r="X20" t="str">
        <f t="shared" si="15"/>
        <v>SO</v>
      </c>
      <c r="Y20">
        <f t="shared" si="16"/>
        <v>0</v>
      </c>
      <c r="Z20">
        <f t="shared" si="17"/>
        <v>0</v>
      </c>
      <c r="AA20" t="str">
        <f t="shared" si="18"/>
        <v>Marché 1</v>
      </c>
      <c r="AB20">
        <f>VLOOKUP(AA20,pxmassif,$D20-2010,FALSE)*Y20</f>
        <v>0</v>
      </c>
      <c r="AC20">
        <f>VLOOKUP(AA20,pxcopeau,$D20-2010,FALSE)*Z20</f>
        <v>0</v>
      </c>
      <c r="AD20">
        <f t="shared" si="25"/>
        <v>64.703999999999979</v>
      </c>
      <c r="AE20">
        <f t="shared" si="26"/>
        <v>0</v>
      </c>
      <c r="AF20">
        <f t="shared" si="27"/>
        <v>64.703999999999979</v>
      </c>
      <c r="AG20">
        <f t="shared" si="28"/>
        <v>0</v>
      </c>
      <c r="AH20">
        <f t="shared" si="29"/>
        <v>0</v>
      </c>
      <c r="AI20">
        <f t="shared" si="30"/>
        <v>64.703999999999979</v>
      </c>
      <c r="AJ20">
        <f t="shared" si="31"/>
        <v>0</v>
      </c>
      <c r="AK20">
        <f t="shared" si="19"/>
        <v>66.515711999999979</v>
      </c>
      <c r="AL20">
        <f t="shared" si="20"/>
        <v>0</v>
      </c>
      <c r="AM20">
        <f>IFERROR(MIN(AL20,VLOOKUP(CONCATENATE(C20,"-to lingot"),negchutes,D20-2007,FALSE)),0)</f>
        <v>0</v>
      </c>
      <c r="AN20">
        <f t="shared" si="32"/>
        <v>0</v>
      </c>
      <c r="AO20" t="str">
        <f t="shared" si="33"/>
        <v>SO</v>
      </c>
      <c r="AP20">
        <f>IF(AR20=0,0,IFERROR(VLOOKUP(CONCATENATE($C20,"-to massif"),negchutes,$D20-2007,FALSE),0)*AM20/AR20)</f>
        <v>0</v>
      </c>
      <c r="AQ20">
        <f>IF(AR20=0,0,IFERROR(VLOOKUP(CONCATENATE($C20,"-to copeaux"),negchutes,$D20-2007,FALSE),0)*AM20/AR20)</f>
        <v>0</v>
      </c>
      <c r="AR20">
        <f>IFERROR(VLOOKUP(CONCATENATE($C20,"-to lingot"),negchutes,$D20-2007,FALSE),0)</f>
        <v>0</v>
      </c>
      <c r="AS20">
        <f>IF(AR20=0,0,AP20*VLOOKUP(CONCATENATE($C20,"-ac massif"),negchutes,$D20-2007,FALSE))</f>
        <v>0</v>
      </c>
      <c r="AT20">
        <f>IF(AR20=0,0,AQ20*VLOOKUP(CONCATENATE($C20,"-ac copeaux"),negchutes,$D20-2007,FALSE))</f>
        <v>0</v>
      </c>
      <c r="AU20">
        <f t="shared" si="21"/>
        <v>0</v>
      </c>
      <c r="AV20">
        <f>IFERROR(VLOOKUP(CONCATENATE(C20,"-px lingot"),negchutes,D20-2007,FALSE),0)*AM20</f>
        <v>0</v>
      </c>
      <c r="AW20">
        <f>AN20*VLOOKUP("Marché 1",pxlingot,D20-2010,FALSE)</f>
        <v>0</v>
      </c>
      <c r="AX20">
        <f t="shared" si="34"/>
        <v>0</v>
      </c>
      <c r="AY20" t="str">
        <f t="shared" si="22"/>
        <v>VAR</v>
      </c>
      <c r="AZ20">
        <f t="shared" si="23"/>
        <v>66.515711999999979</v>
      </c>
      <c r="BA20">
        <f>MAX(VLOOKUP(VLOOKUP(C20,descmarche,28,FALSE),pxlingot,D20-2010,FALSE),AX20)</f>
        <v>0</v>
      </c>
      <c r="BB20">
        <f t="shared" si="35"/>
        <v>0</v>
      </c>
      <c r="BC20" t="str">
        <f t="shared" si="24"/>
        <v>SO</v>
      </c>
    </row>
    <row r="21" spans="1:55" x14ac:dyDescent="0.25">
      <c r="A21" t="s">
        <v>16</v>
      </c>
      <c r="B21" s="4" t="s">
        <v>43</v>
      </c>
      <c r="C21" t="str">
        <f t="shared" si="37"/>
        <v>UKTMP-02</v>
      </c>
      <c r="D21">
        <v>2017</v>
      </c>
      <c r="E21">
        <v>1011</v>
      </c>
      <c r="F21" t="str">
        <f t="shared" si="1"/>
        <v>Airbus hors AD</v>
      </c>
      <c r="G21" t="str">
        <f t="shared" si="2"/>
        <v>Contrat Airbus Fasteners hors AD</v>
      </c>
      <c r="H21">
        <f t="shared" si="3"/>
        <v>0</v>
      </c>
      <c r="I21">
        <f t="shared" si="4"/>
        <v>5</v>
      </c>
      <c r="J21">
        <f t="shared" si="5"/>
        <v>1160</v>
      </c>
      <c r="K21">
        <f t="shared" si="6"/>
        <v>1011</v>
      </c>
      <c r="L21">
        <f t="shared" si="7"/>
        <v>1172.76</v>
      </c>
      <c r="M21">
        <f t="shared" si="8"/>
        <v>64.703999999999979</v>
      </c>
      <c r="N21">
        <f t="shared" si="9"/>
        <v>0</v>
      </c>
      <c r="O21" t="str">
        <f t="shared" si="10"/>
        <v>Marché 1</v>
      </c>
      <c r="P21">
        <f>VLOOKUP(O21,pxmassif,D21-2010,FALSE)*M21</f>
        <v>808.79999999999973</v>
      </c>
      <c r="Q21">
        <f>VLOOKUP(O21,pxcopeau,D21-2010,FALSE)*N21</f>
        <v>0</v>
      </c>
      <c r="R21" t="str">
        <f t="shared" si="11"/>
        <v>SO</v>
      </c>
      <c r="S21">
        <f t="shared" si="12"/>
        <v>0</v>
      </c>
      <c r="T21">
        <f t="shared" si="13"/>
        <v>0</v>
      </c>
      <c r="U21" t="str">
        <f t="shared" si="14"/>
        <v>Marché 1</v>
      </c>
      <c r="V21">
        <f>VLOOKUP(U21,pxmassif,$D21-2010,FALSE)*S21</f>
        <v>0</v>
      </c>
      <c r="W21">
        <f>VLOOKUP(U21,pxcopeau,$D21-2010,FALSE)*T21</f>
        <v>0</v>
      </c>
      <c r="X21" t="str">
        <f t="shared" si="15"/>
        <v>SO</v>
      </c>
      <c r="Y21">
        <f t="shared" si="16"/>
        <v>0</v>
      </c>
      <c r="Z21">
        <f t="shared" si="17"/>
        <v>0</v>
      </c>
      <c r="AA21" t="str">
        <f t="shared" si="18"/>
        <v>Marché 1</v>
      </c>
      <c r="AB21">
        <f>VLOOKUP(AA21,pxmassif,$D21-2010,FALSE)*Y21</f>
        <v>0</v>
      </c>
      <c r="AC21">
        <f>VLOOKUP(AA21,pxcopeau,$D21-2010,FALSE)*Z21</f>
        <v>0</v>
      </c>
      <c r="AD21">
        <f t="shared" si="25"/>
        <v>64.703999999999979</v>
      </c>
      <c r="AE21">
        <f t="shared" si="26"/>
        <v>0</v>
      </c>
      <c r="AF21">
        <f t="shared" si="27"/>
        <v>64.703999999999979</v>
      </c>
      <c r="AG21">
        <f t="shared" si="28"/>
        <v>0</v>
      </c>
      <c r="AH21">
        <f t="shared" si="29"/>
        <v>0</v>
      </c>
      <c r="AI21">
        <f t="shared" si="30"/>
        <v>64.703999999999979</v>
      </c>
      <c r="AJ21">
        <f t="shared" si="31"/>
        <v>0</v>
      </c>
      <c r="AK21">
        <f t="shared" si="19"/>
        <v>66.515711999999979</v>
      </c>
      <c r="AL21">
        <f t="shared" si="20"/>
        <v>0</v>
      </c>
      <c r="AM21">
        <f>IFERROR(MIN(AL21,VLOOKUP(CONCATENATE(C21,"-to lingot"),negchutes,D21-2007,FALSE)),0)</f>
        <v>0</v>
      </c>
      <c r="AN21">
        <f t="shared" si="32"/>
        <v>0</v>
      </c>
      <c r="AO21" t="str">
        <f t="shared" si="33"/>
        <v>SO</v>
      </c>
      <c r="AP21">
        <f>IF(AR21=0,0,IFERROR(VLOOKUP(CONCATENATE($C21,"-to massif"),negchutes,$D21-2007,FALSE),0)*AM21/AR21)</f>
        <v>0</v>
      </c>
      <c r="AQ21">
        <f>IF(AR21=0,0,IFERROR(VLOOKUP(CONCATENATE($C21,"-to copeaux"),negchutes,$D21-2007,FALSE),0)*AM21/AR21)</f>
        <v>0</v>
      </c>
      <c r="AR21">
        <f>IFERROR(VLOOKUP(CONCATENATE($C21,"-to lingot"),negchutes,$D21-2007,FALSE),0)</f>
        <v>0</v>
      </c>
      <c r="AS21">
        <f>IF(AR21=0,0,AP21*VLOOKUP(CONCATENATE($C21,"-ac massif"),negchutes,$D21-2007,FALSE))</f>
        <v>0</v>
      </c>
      <c r="AT21">
        <f>IF(AR21=0,0,AQ21*VLOOKUP(CONCATENATE($C21,"-ac copeaux"),negchutes,$D21-2007,FALSE))</f>
        <v>0</v>
      </c>
      <c r="AU21">
        <f t="shared" si="21"/>
        <v>0</v>
      </c>
      <c r="AV21">
        <f>IFERROR(VLOOKUP(CONCATENATE(C21,"-px lingot"),negchutes,D21-2007,FALSE),0)*AM21</f>
        <v>0</v>
      </c>
      <c r="AW21">
        <f>AN21*VLOOKUP("Marché 1",pxlingot,D21-2010,FALSE)</f>
        <v>0</v>
      </c>
      <c r="AX21">
        <f t="shared" si="34"/>
        <v>0</v>
      </c>
      <c r="AY21" t="str">
        <f t="shared" si="22"/>
        <v>VAR</v>
      </c>
      <c r="AZ21">
        <f t="shared" si="23"/>
        <v>66.515711999999979</v>
      </c>
      <c r="BA21">
        <f>MAX(VLOOKUP(VLOOKUP(C21,descmarche,28,FALSE),pxlingot,D21-2010,FALSE),AX21)</f>
        <v>0</v>
      </c>
      <c r="BB21">
        <f t="shared" si="35"/>
        <v>0</v>
      </c>
      <c r="BC21" t="str">
        <f t="shared" si="24"/>
        <v>SO</v>
      </c>
    </row>
    <row r="22" spans="1:55" x14ac:dyDescent="0.25">
      <c r="A22" t="s">
        <v>16</v>
      </c>
      <c r="B22" s="4" t="s">
        <v>43</v>
      </c>
      <c r="C22" t="str">
        <f t="shared" si="37"/>
        <v>UKTMP-02</v>
      </c>
      <c r="D22">
        <v>2018</v>
      </c>
      <c r="E22">
        <v>1011</v>
      </c>
      <c r="F22" t="str">
        <f t="shared" si="1"/>
        <v>Airbus hors AD</v>
      </c>
      <c r="G22" t="str">
        <f t="shared" si="2"/>
        <v>Contrat Airbus Fasteners hors AD</v>
      </c>
      <c r="H22">
        <f t="shared" si="3"/>
        <v>0</v>
      </c>
      <c r="I22">
        <f t="shared" si="4"/>
        <v>5</v>
      </c>
      <c r="J22">
        <f t="shared" si="5"/>
        <v>1160</v>
      </c>
      <c r="K22">
        <f t="shared" si="6"/>
        <v>1011</v>
      </c>
      <c r="L22">
        <f t="shared" si="7"/>
        <v>1172.76</v>
      </c>
      <c r="M22">
        <f t="shared" si="8"/>
        <v>64.703999999999979</v>
      </c>
      <c r="N22">
        <f t="shared" si="9"/>
        <v>0</v>
      </c>
      <c r="O22" t="str">
        <f t="shared" si="10"/>
        <v>Marché 1</v>
      </c>
      <c r="P22">
        <f>VLOOKUP(O22,pxmassif,D22-2010,FALSE)*M22</f>
        <v>808.79999999999973</v>
      </c>
      <c r="Q22">
        <f>VLOOKUP(O22,pxcopeau,D22-2010,FALSE)*N22</f>
        <v>0</v>
      </c>
      <c r="R22" t="str">
        <f t="shared" si="11"/>
        <v>SO</v>
      </c>
      <c r="S22">
        <f t="shared" si="12"/>
        <v>0</v>
      </c>
      <c r="T22">
        <f t="shared" si="13"/>
        <v>0</v>
      </c>
      <c r="U22" t="str">
        <f t="shared" si="14"/>
        <v>Marché 1</v>
      </c>
      <c r="V22">
        <f>VLOOKUP(U22,pxmassif,$D22-2010,FALSE)*S22</f>
        <v>0</v>
      </c>
      <c r="W22">
        <f>VLOOKUP(U22,pxcopeau,$D22-2010,FALSE)*T22</f>
        <v>0</v>
      </c>
      <c r="X22" t="str">
        <f t="shared" si="15"/>
        <v>SO</v>
      </c>
      <c r="Y22">
        <f t="shared" si="16"/>
        <v>0</v>
      </c>
      <c r="Z22">
        <f t="shared" si="17"/>
        <v>0</v>
      </c>
      <c r="AA22" t="str">
        <f t="shared" si="18"/>
        <v>Marché 1</v>
      </c>
      <c r="AB22">
        <f>VLOOKUP(AA22,pxmassif,$D22-2010,FALSE)*Y22</f>
        <v>0</v>
      </c>
      <c r="AC22">
        <f>VLOOKUP(AA22,pxcopeau,$D22-2010,FALSE)*Z22</f>
        <v>0</v>
      </c>
      <c r="AD22">
        <f t="shared" si="25"/>
        <v>64.703999999999979</v>
      </c>
      <c r="AE22">
        <f t="shared" si="26"/>
        <v>0</v>
      </c>
      <c r="AF22">
        <f t="shared" si="27"/>
        <v>64.703999999999979</v>
      </c>
      <c r="AG22">
        <f t="shared" si="28"/>
        <v>0</v>
      </c>
      <c r="AH22">
        <f t="shared" si="29"/>
        <v>0</v>
      </c>
      <c r="AI22">
        <f t="shared" si="30"/>
        <v>64.703999999999979</v>
      </c>
      <c r="AJ22">
        <f t="shared" si="31"/>
        <v>0</v>
      </c>
      <c r="AK22">
        <f t="shared" si="19"/>
        <v>66.515711999999979</v>
      </c>
      <c r="AL22">
        <f t="shared" si="20"/>
        <v>0</v>
      </c>
      <c r="AM22">
        <f>IFERROR(MIN(AL22,VLOOKUP(CONCATENATE(C22,"-to lingot"),negchutes,D22-2007,FALSE)),0)</f>
        <v>0</v>
      </c>
      <c r="AN22">
        <f t="shared" si="32"/>
        <v>0</v>
      </c>
      <c r="AO22" t="str">
        <f t="shared" si="33"/>
        <v>SO</v>
      </c>
      <c r="AP22">
        <f>IF(AR22=0,0,IFERROR(VLOOKUP(CONCATENATE($C22,"-to massif"),negchutes,$D22-2007,FALSE),0)*AM22/AR22)</f>
        <v>0</v>
      </c>
      <c r="AQ22">
        <f>IF(AR22=0,0,IFERROR(VLOOKUP(CONCATENATE($C22,"-to copeaux"),negchutes,$D22-2007,FALSE),0)*AM22/AR22)</f>
        <v>0</v>
      </c>
      <c r="AR22">
        <f>IFERROR(VLOOKUP(CONCATENATE($C22,"-to lingot"),negchutes,$D22-2007,FALSE),0)</f>
        <v>0</v>
      </c>
      <c r="AS22">
        <f>IF(AR22=0,0,AP22*VLOOKUP(CONCATENATE($C22,"-ac massif"),negchutes,$D22-2007,FALSE))</f>
        <v>0</v>
      </c>
      <c r="AT22">
        <f>IF(AR22=0,0,AQ22*VLOOKUP(CONCATENATE($C22,"-ac copeaux"),negchutes,$D22-2007,FALSE))</f>
        <v>0</v>
      </c>
      <c r="AU22">
        <f t="shared" si="21"/>
        <v>0</v>
      </c>
      <c r="AV22">
        <f>IFERROR(VLOOKUP(CONCATENATE(C22,"-px lingot"),negchutes,D22-2007,FALSE),0)*AM22</f>
        <v>0</v>
      </c>
      <c r="AW22">
        <f>AN22*VLOOKUP("Marché 1",pxlingot,D22-2010,FALSE)</f>
        <v>0</v>
      </c>
      <c r="AX22">
        <f t="shared" si="34"/>
        <v>0</v>
      </c>
      <c r="AY22" t="str">
        <f t="shared" si="22"/>
        <v>VAR</v>
      </c>
      <c r="AZ22">
        <f t="shared" si="23"/>
        <v>66.515711999999979</v>
      </c>
      <c r="BA22">
        <f>MAX(VLOOKUP(VLOOKUP(C22,descmarche,28,FALSE),pxlingot,D22-2010,FALSE),AX22)</f>
        <v>0</v>
      </c>
      <c r="BB22">
        <f t="shared" si="35"/>
        <v>0</v>
      </c>
      <c r="BC22" t="str">
        <f t="shared" si="24"/>
        <v>SO</v>
      </c>
    </row>
    <row r="23" spans="1:55" x14ac:dyDescent="0.25">
      <c r="A23" t="s">
        <v>16</v>
      </c>
      <c r="B23" s="4" t="s">
        <v>43</v>
      </c>
      <c r="C23" t="str">
        <f t="shared" si="37"/>
        <v>UKTMP-02</v>
      </c>
      <c r="D23">
        <v>2019</v>
      </c>
      <c r="E23">
        <v>1011</v>
      </c>
      <c r="F23" t="str">
        <f t="shared" si="1"/>
        <v>Airbus hors AD</v>
      </c>
      <c r="G23" t="str">
        <f t="shared" si="2"/>
        <v>Contrat Airbus Fasteners hors AD</v>
      </c>
      <c r="H23">
        <f t="shared" si="3"/>
        <v>0</v>
      </c>
      <c r="I23">
        <f t="shared" si="4"/>
        <v>5</v>
      </c>
      <c r="J23">
        <f t="shared" si="5"/>
        <v>1160</v>
      </c>
      <c r="K23">
        <f t="shared" si="6"/>
        <v>1011</v>
      </c>
      <c r="L23">
        <f t="shared" si="7"/>
        <v>1172.76</v>
      </c>
      <c r="M23">
        <f t="shared" si="8"/>
        <v>64.703999999999979</v>
      </c>
      <c r="N23">
        <f t="shared" si="9"/>
        <v>0</v>
      </c>
      <c r="O23" t="str">
        <f t="shared" si="10"/>
        <v>Marché 1</v>
      </c>
      <c r="P23">
        <f>VLOOKUP(O23,pxmassif,D23-2010,FALSE)*M23</f>
        <v>808.79999999999973</v>
      </c>
      <c r="Q23">
        <f>VLOOKUP(O23,pxcopeau,D23-2010,FALSE)*N23</f>
        <v>0</v>
      </c>
      <c r="R23" t="str">
        <f t="shared" si="11"/>
        <v>SO</v>
      </c>
      <c r="S23">
        <f t="shared" si="12"/>
        <v>0</v>
      </c>
      <c r="T23">
        <f t="shared" si="13"/>
        <v>0</v>
      </c>
      <c r="U23" t="str">
        <f t="shared" si="14"/>
        <v>Marché 1</v>
      </c>
      <c r="V23">
        <f>VLOOKUP(U23,pxmassif,$D23-2010,FALSE)*S23</f>
        <v>0</v>
      </c>
      <c r="W23">
        <f>VLOOKUP(U23,pxcopeau,$D23-2010,FALSE)*T23</f>
        <v>0</v>
      </c>
      <c r="X23" t="str">
        <f t="shared" si="15"/>
        <v>SO</v>
      </c>
      <c r="Y23">
        <f t="shared" si="16"/>
        <v>0</v>
      </c>
      <c r="Z23">
        <f t="shared" si="17"/>
        <v>0</v>
      </c>
      <c r="AA23" t="str">
        <f t="shared" si="18"/>
        <v>Marché 1</v>
      </c>
      <c r="AB23">
        <f>VLOOKUP(AA23,pxmassif,$D23-2010,FALSE)*Y23</f>
        <v>0</v>
      </c>
      <c r="AC23">
        <f>VLOOKUP(AA23,pxcopeau,$D23-2010,FALSE)*Z23</f>
        <v>0</v>
      </c>
      <c r="AD23">
        <f t="shared" si="25"/>
        <v>64.703999999999979</v>
      </c>
      <c r="AE23">
        <f t="shared" si="26"/>
        <v>0</v>
      </c>
      <c r="AF23">
        <f t="shared" si="27"/>
        <v>64.703999999999979</v>
      </c>
      <c r="AG23">
        <f t="shared" si="28"/>
        <v>0</v>
      </c>
      <c r="AH23">
        <f t="shared" si="29"/>
        <v>0</v>
      </c>
      <c r="AI23">
        <f t="shared" si="30"/>
        <v>64.703999999999979</v>
      </c>
      <c r="AJ23">
        <f t="shared" si="31"/>
        <v>0</v>
      </c>
      <c r="AK23">
        <f t="shared" si="19"/>
        <v>66.515711999999979</v>
      </c>
      <c r="AL23">
        <f t="shared" si="20"/>
        <v>0</v>
      </c>
      <c r="AM23">
        <f>IFERROR(MIN(AL23,VLOOKUP(CONCATENATE(C23,"-to lingot"),negchutes,D23-2007,FALSE)),0)</f>
        <v>0</v>
      </c>
      <c r="AN23">
        <f t="shared" si="32"/>
        <v>0</v>
      </c>
      <c r="AO23" t="str">
        <f t="shared" si="33"/>
        <v>SO</v>
      </c>
      <c r="AP23">
        <f>IF(AR23=0,0,IFERROR(VLOOKUP(CONCATENATE($C23,"-to massif"),negchutes,$D23-2007,FALSE),0)*AM23/AR23)</f>
        <v>0</v>
      </c>
      <c r="AQ23">
        <f>IF(AR23=0,0,IFERROR(VLOOKUP(CONCATENATE($C23,"-to copeaux"),negchutes,$D23-2007,FALSE),0)*AM23/AR23)</f>
        <v>0</v>
      </c>
      <c r="AR23">
        <f>IFERROR(VLOOKUP(CONCATENATE($C23,"-to lingot"),negchutes,$D23-2007,FALSE),0)</f>
        <v>0</v>
      </c>
      <c r="AS23">
        <f>IF(AR23=0,0,AP23*VLOOKUP(CONCATENATE($C23,"-ac massif"),negchutes,$D23-2007,FALSE))</f>
        <v>0</v>
      </c>
      <c r="AT23">
        <f>IF(AR23=0,0,AQ23*VLOOKUP(CONCATENATE($C23,"-ac copeaux"),negchutes,$D23-2007,FALSE))</f>
        <v>0</v>
      </c>
      <c r="AU23">
        <f t="shared" si="21"/>
        <v>0</v>
      </c>
      <c r="AV23">
        <f>IFERROR(VLOOKUP(CONCATENATE(C23,"-px lingot"),negchutes,D23-2007,FALSE),0)*AM23</f>
        <v>0</v>
      </c>
      <c r="AW23">
        <f>AN23*VLOOKUP("Marché 1",pxlingot,D23-2010,FALSE)</f>
        <v>0</v>
      </c>
      <c r="AX23">
        <f t="shared" si="34"/>
        <v>0</v>
      </c>
      <c r="AY23" t="str">
        <f t="shared" si="22"/>
        <v>VAR</v>
      </c>
      <c r="AZ23">
        <f t="shared" si="23"/>
        <v>66.515711999999979</v>
      </c>
      <c r="BA23">
        <f>MAX(VLOOKUP(VLOOKUP(C23,descmarche,28,FALSE),pxlingot,D23-2010,FALSE),AX23)</f>
        <v>0</v>
      </c>
      <c r="BB23">
        <f t="shared" si="35"/>
        <v>0</v>
      </c>
      <c r="BC23" t="str">
        <f t="shared" si="24"/>
        <v>SO</v>
      </c>
    </row>
    <row r="24" spans="1:55" x14ac:dyDescent="0.25">
      <c r="A24" t="s">
        <v>16</v>
      </c>
      <c r="B24" s="4" t="s">
        <v>43</v>
      </c>
      <c r="C24" t="str">
        <f t="shared" si="37"/>
        <v>UKTMP-02</v>
      </c>
      <c r="D24">
        <v>2020</v>
      </c>
      <c r="E24">
        <v>1011</v>
      </c>
      <c r="F24" t="str">
        <f t="shared" si="1"/>
        <v>Airbus hors AD</v>
      </c>
      <c r="G24" t="str">
        <f t="shared" si="2"/>
        <v>Contrat Airbus Fasteners hors AD</v>
      </c>
      <c r="H24">
        <f t="shared" si="3"/>
        <v>0</v>
      </c>
      <c r="I24">
        <f t="shared" si="4"/>
        <v>5</v>
      </c>
      <c r="J24">
        <f t="shared" si="5"/>
        <v>1160</v>
      </c>
      <c r="K24">
        <f t="shared" si="6"/>
        <v>1011</v>
      </c>
      <c r="L24">
        <f t="shared" si="7"/>
        <v>1172.76</v>
      </c>
      <c r="M24">
        <f t="shared" si="8"/>
        <v>64.703999999999979</v>
      </c>
      <c r="N24">
        <f t="shared" si="9"/>
        <v>0</v>
      </c>
      <c r="O24" t="str">
        <f t="shared" si="10"/>
        <v>Marché 1</v>
      </c>
      <c r="P24">
        <f>VLOOKUP(O24,pxmassif,D24-2010,FALSE)*M24</f>
        <v>808.79999999999973</v>
      </c>
      <c r="Q24">
        <f>VLOOKUP(O24,pxcopeau,D24-2010,FALSE)*N24</f>
        <v>0</v>
      </c>
      <c r="R24" t="str">
        <f t="shared" si="11"/>
        <v>SO</v>
      </c>
      <c r="S24">
        <f t="shared" si="12"/>
        <v>0</v>
      </c>
      <c r="T24">
        <f t="shared" si="13"/>
        <v>0</v>
      </c>
      <c r="U24" t="str">
        <f t="shared" si="14"/>
        <v>Marché 1</v>
      </c>
      <c r="V24">
        <f>VLOOKUP(U24,pxmassif,$D24-2010,FALSE)*S24</f>
        <v>0</v>
      </c>
      <c r="W24">
        <f>VLOOKUP(U24,pxcopeau,$D24-2010,FALSE)*T24</f>
        <v>0</v>
      </c>
      <c r="X24" t="str">
        <f t="shared" si="15"/>
        <v>SO</v>
      </c>
      <c r="Y24">
        <f t="shared" si="16"/>
        <v>0</v>
      </c>
      <c r="Z24">
        <f t="shared" si="17"/>
        <v>0</v>
      </c>
      <c r="AA24" t="str">
        <f t="shared" si="18"/>
        <v>Marché 1</v>
      </c>
      <c r="AB24">
        <f>VLOOKUP(AA24,pxmassif,$D24-2010,FALSE)*Y24</f>
        <v>0</v>
      </c>
      <c r="AC24">
        <f>VLOOKUP(AA24,pxcopeau,$D24-2010,FALSE)*Z24</f>
        <v>0</v>
      </c>
      <c r="AD24">
        <f t="shared" si="25"/>
        <v>64.703999999999979</v>
      </c>
      <c r="AE24">
        <f t="shared" si="26"/>
        <v>0</v>
      </c>
      <c r="AF24">
        <f t="shared" si="27"/>
        <v>64.703999999999979</v>
      </c>
      <c r="AG24">
        <f t="shared" si="28"/>
        <v>0</v>
      </c>
      <c r="AH24">
        <f t="shared" si="29"/>
        <v>0</v>
      </c>
      <c r="AI24">
        <f t="shared" si="30"/>
        <v>64.703999999999979</v>
      </c>
      <c r="AJ24">
        <f t="shared" si="31"/>
        <v>0</v>
      </c>
      <c r="AK24">
        <f t="shared" si="19"/>
        <v>66.515711999999979</v>
      </c>
      <c r="AL24">
        <f t="shared" si="20"/>
        <v>0</v>
      </c>
      <c r="AM24">
        <f>IFERROR(MIN(AL24,VLOOKUP(CONCATENATE(C24,"-to lingot"),negchutes,D24-2007,FALSE)),0)</f>
        <v>0</v>
      </c>
      <c r="AN24">
        <f t="shared" si="32"/>
        <v>0</v>
      </c>
      <c r="AO24" t="str">
        <f t="shared" si="33"/>
        <v>SO</v>
      </c>
      <c r="AP24">
        <f>IF(AR24=0,0,IFERROR(VLOOKUP(CONCATENATE($C24,"-to massif"),negchutes,$D24-2007,FALSE),0)*AM24/AR24)</f>
        <v>0</v>
      </c>
      <c r="AQ24">
        <f>IF(AR24=0,0,IFERROR(VLOOKUP(CONCATENATE($C24,"-to copeaux"),negchutes,$D24-2007,FALSE),0)*AM24/AR24)</f>
        <v>0</v>
      </c>
      <c r="AR24">
        <f>IFERROR(VLOOKUP(CONCATENATE($C24,"-to lingot"),negchutes,$D24-2007,FALSE),0)</f>
        <v>0</v>
      </c>
      <c r="AS24">
        <f>IF(AR24=0,0,AP24*VLOOKUP(CONCATENATE($C24,"-ac massif"),negchutes,$D24-2007,FALSE))</f>
        <v>0</v>
      </c>
      <c r="AT24">
        <f>IF(AR24=0,0,AQ24*VLOOKUP(CONCATENATE($C24,"-ac copeaux"),negchutes,$D24-2007,FALSE))</f>
        <v>0</v>
      </c>
      <c r="AU24">
        <f t="shared" si="21"/>
        <v>0</v>
      </c>
      <c r="AV24">
        <f>IFERROR(VLOOKUP(CONCATENATE(C24,"-px lingot"),negchutes,D24-2007,FALSE),0)*AM24</f>
        <v>0</v>
      </c>
      <c r="AW24">
        <f>AN24*VLOOKUP("Marché 1",pxlingot,D24-2010,FALSE)</f>
        <v>0</v>
      </c>
      <c r="AX24">
        <f t="shared" si="34"/>
        <v>0</v>
      </c>
      <c r="AY24" t="str">
        <f t="shared" si="22"/>
        <v>VAR</v>
      </c>
      <c r="AZ24">
        <f t="shared" si="23"/>
        <v>66.515711999999979</v>
      </c>
      <c r="BA24">
        <f>MAX(VLOOKUP(VLOOKUP(C24,descmarche,28,FALSE),pxlingot,D24-2010,FALSE),AX24)</f>
        <v>0</v>
      </c>
      <c r="BB24">
        <f t="shared" si="35"/>
        <v>0</v>
      </c>
      <c r="BC24" t="str">
        <f t="shared" si="24"/>
        <v>SO</v>
      </c>
    </row>
    <row r="25" spans="1:55" x14ac:dyDescent="0.25">
      <c r="A25" t="s">
        <v>16</v>
      </c>
      <c r="B25" s="4" t="s">
        <v>43</v>
      </c>
      <c r="C25" t="str">
        <f t="shared" si="37"/>
        <v>UKTMP-02</v>
      </c>
      <c r="D25">
        <v>2021</v>
      </c>
      <c r="E25">
        <v>1011</v>
      </c>
      <c r="F25" t="str">
        <f t="shared" si="1"/>
        <v>Airbus hors AD</v>
      </c>
      <c r="G25" t="str">
        <f t="shared" si="2"/>
        <v>Contrat Airbus Fasteners hors AD</v>
      </c>
      <c r="H25">
        <f t="shared" si="3"/>
        <v>0</v>
      </c>
      <c r="I25">
        <f t="shared" si="4"/>
        <v>5</v>
      </c>
      <c r="J25">
        <f t="shared" si="5"/>
        <v>1160</v>
      </c>
      <c r="K25">
        <f t="shared" si="6"/>
        <v>1011</v>
      </c>
      <c r="L25">
        <f t="shared" si="7"/>
        <v>1172.76</v>
      </c>
      <c r="M25">
        <f t="shared" si="8"/>
        <v>64.703999999999979</v>
      </c>
      <c r="N25">
        <f t="shared" si="9"/>
        <v>0</v>
      </c>
      <c r="O25" t="str">
        <f t="shared" si="10"/>
        <v>Marché 1</v>
      </c>
      <c r="P25">
        <f>VLOOKUP(O25,pxmassif,D25-2010,FALSE)*M25</f>
        <v>808.79999999999973</v>
      </c>
      <c r="Q25">
        <f>VLOOKUP(O25,pxcopeau,D25-2010,FALSE)*N25</f>
        <v>0</v>
      </c>
      <c r="R25" t="str">
        <f t="shared" si="11"/>
        <v>SO</v>
      </c>
      <c r="S25">
        <f t="shared" si="12"/>
        <v>0</v>
      </c>
      <c r="T25">
        <f t="shared" si="13"/>
        <v>0</v>
      </c>
      <c r="U25" t="str">
        <f t="shared" si="14"/>
        <v>Marché 1</v>
      </c>
      <c r="V25">
        <f>VLOOKUP(U25,pxmassif,$D25-2010,FALSE)*S25</f>
        <v>0</v>
      </c>
      <c r="W25">
        <f>VLOOKUP(U25,pxcopeau,$D25-2010,FALSE)*T25</f>
        <v>0</v>
      </c>
      <c r="X25" t="str">
        <f t="shared" si="15"/>
        <v>SO</v>
      </c>
      <c r="Y25">
        <f t="shared" si="16"/>
        <v>0</v>
      </c>
      <c r="Z25">
        <f t="shared" si="17"/>
        <v>0</v>
      </c>
      <c r="AA25" t="str">
        <f t="shared" si="18"/>
        <v>Marché 1</v>
      </c>
      <c r="AB25">
        <f>VLOOKUP(AA25,pxmassif,$D25-2010,FALSE)*Y25</f>
        <v>0</v>
      </c>
      <c r="AC25">
        <f>VLOOKUP(AA25,pxcopeau,$D25-2010,FALSE)*Z25</f>
        <v>0</v>
      </c>
      <c r="AD25">
        <f t="shared" si="25"/>
        <v>64.703999999999979</v>
      </c>
      <c r="AE25">
        <f t="shared" si="26"/>
        <v>0</v>
      </c>
      <c r="AF25">
        <f t="shared" si="27"/>
        <v>64.703999999999979</v>
      </c>
      <c r="AG25">
        <f t="shared" si="28"/>
        <v>0</v>
      </c>
      <c r="AH25">
        <f t="shared" si="29"/>
        <v>0</v>
      </c>
      <c r="AI25">
        <f t="shared" si="30"/>
        <v>64.703999999999979</v>
      </c>
      <c r="AJ25">
        <f t="shared" si="31"/>
        <v>0</v>
      </c>
      <c r="AK25">
        <f t="shared" si="19"/>
        <v>66.515711999999979</v>
      </c>
      <c r="AL25">
        <f t="shared" si="20"/>
        <v>0</v>
      </c>
      <c r="AM25">
        <f>IFERROR(MIN(AL25,VLOOKUP(CONCATENATE(C25,"-to lingot"),negchutes,D25-2007,FALSE)),0)</f>
        <v>0</v>
      </c>
      <c r="AN25">
        <f t="shared" si="32"/>
        <v>0</v>
      </c>
      <c r="AO25" t="str">
        <f t="shared" si="33"/>
        <v>SO</v>
      </c>
      <c r="AP25">
        <f>IF(AR25=0,0,IFERROR(VLOOKUP(CONCATENATE($C25,"-to massif"),negchutes,$D25-2007,FALSE),0)*AM25/AR25)</f>
        <v>0</v>
      </c>
      <c r="AQ25">
        <f>IF(AR25=0,0,IFERROR(VLOOKUP(CONCATENATE($C25,"-to copeaux"),negchutes,$D25-2007,FALSE),0)*AM25/AR25)</f>
        <v>0</v>
      </c>
      <c r="AR25">
        <f>IFERROR(VLOOKUP(CONCATENATE($C25,"-to lingot"),negchutes,$D25-2007,FALSE),0)</f>
        <v>0</v>
      </c>
      <c r="AS25">
        <f>IF(AR25=0,0,AP25*VLOOKUP(CONCATENATE($C25,"-ac massif"),negchutes,$D25-2007,FALSE))</f>
        <v>0</v>
      </c>
      <c r="AT25">
        <f>IF(AR25=0,0,AQ25*VLOOKUP(CONCATENATE($C25,"-ac copeaux"),negchutes,$D25-2007,FALSE))</f>
        <v>0</v>
      </c>
      <c r="AU25">
        <f t="shared" si="21"/>
        <v>0</v>
      </c>
      <c r="AV25">
        <f>IFERROR(VLOOKUP(CONCATENATE(C25,"-px lingot"),negchutes,D25-2007,FALSE),0)*AM25</f>
        <v>0</v>
      </c>
      <c r="AW25">
        <f>AN25*VLOOKUP("Marché 1",pxlingot,D25-2010,FALSE)</f>
        <v>0</v>
      </c>
      <c r="AX25">
        <f t="shared" si="34"/>
        <v>0</v>
      </c>
      <c r="AY25" t="str">
        <f t="shared" si="22"/>
        <v>VAR</v>
      </c>
      <c r="AZ25">
        <f t="shared" si="23"/>
        <v>66.515711999999979</v>
      </c>
      <c r="BA25">
        <f>MAX(VLOOKUP(VLOOKUP(C25,descmarche,28,FALSE),pxlingot,D25-2010,FALSE),AX25)</f>
        <v>0</v>
      </c>
      <c r="BB25">
        <f t="shared" si="35"/>
        <v>0</v>
      </c>
      <c r="BC25" t="str">
        <f t="shared" si="24"/>
        <v>SO</v>
      </c>
    </row>
    <row r="26" spans="1:55" x14ac:dyDescent="0.25">
      <c r="A26" t="s">
        <v>16</v>
      </c>
      <c r="B26" s="4" t="s">
        <v>43</v>
      </c>
      <c r="C26" t="str">
        <f t="shared" si="37"/>
        <v>UKTMP-02</v>
      </c>
      <c r="D26">
        <v>2022</v>
      </c>
      <c r="E26">
        <v>1011</v>
      </c>
      <c r="F26" t="str">
        <f t="shared" si="1"/>
        <v>Airbus hors AD</v>
      </c>
      <c r="G26" t="str">
        <f t="shared" si="2"/>
        <v>Contrat Airbus Fasteners hors AD</v>
      </c>
      <c r="H26">
        <f t="shared" si="3"/>
        <v>0</v>
      </c>
      <c r="I26">
        <f t="shared" si="4"/>
        <v>5</v>
      </c>
      <c r="J26">
        <f t="shared" si="5"/>
        <v>1160</v>
      </c>
      <c r="K26">
        <f t="shared" si="6"/>
        <v>1011</v>
      </c>
      <c r="L26">
        <f t="shared" si="7"/>
        <v>1172.76</v>
      </c>
      <c r="M26">
        <f t="shared" si="8"/>
        <v>64.703999999999979</v>
      </c>
      <c r="N26">
        <f t="shared" si="9"/>
        <v>0</v>
      </c>
      <c r="O26" t="str">
        <f t="shared" si="10"/>
        <v>Marché 1</v>
      </c>
      <c r="P26">
        <f>VLOOKUP(O26,pxmassif,D26-2010,FALSE)*M26</f>
        <v>808.79999999999973</v>
      </c>
      <c r="Q26">
        <f>VLOOKUP(O26,pxcopeau,D26-2010,FALSE)*N26</f>
        <v>0</v>
      </c>
      <c r="R26" t="str">
        <f t="shared" si="11"/>
        <v>SO</v>
      </c>
      <c r="S26">
        <f t="shared" si="12"/>
        <v>0</v>
      </c>
      <c r="T26">
        <f t="shared" si="13"/>
        <v>0</v>
      </c>
      <c r="U26" t="str">
        <f t="shared" si="14"/>
        <v>Marché 1</v>
      </c>
      <c r="V26">
        <f>VLOOKUP(U26,pxmassif,$D26-2010,FALSE)*S26</f>
        <v>0</v>
      </c>
      <c r="W26">
        <f>VLOOKUP(U26,pxcopeau,$D26-2010,FALSE)*T26</f>
        <v>0</v>
      </c>
      <c r="X26" t="str">
        <f t="shared" si="15"/>
        <v>SO</v>
      </c>
      <c r="Y26">
        <f t="shared" si="16"/>
        <v>0</v>
      </c>
      <c r="Z26">
        <f t="shared" si="17"/>
        <v>0</v>
      </c>
      <c r="AA26" t="str">
        <f t="shared" si="18"/>
        <v>Marché 1</v>
      </c>
      <c r="AB26">
        <f>VLOOKUP(AA26,pxmassif,$D26-2010,FALSE)*Y26</f>
        <v>0</v>
      </c>
      <c r="AC26">
        <f>VLOOKUP(AA26,pxcopeau,$D26-2010,FALSE)*Z26</f>
        <v>0</v>
      </c>
      <c r="AD26">
        <f t="shared" si="25"/>
        <v>64.703999999999979</v>
      </c>
      <c r="AE26">
        <f t="shared" si="26"/>
        <v>0</v>
      </c>
      <c r="AF26">
        <f t="shared" si="27"/>
        <v>64.703999999999979</v>
      </c>
      <c r="AG26">
        <f t="shared" si="28"/>
        <v>0</v>
      </c>
      <c r="AH26">
        <f t="shared" si="29"/>
        <v>0</v>
      </c>
      <c r="AI26">
        <f t="shared" si="30"/>
        <v>64.703999999999979</v>
      </c>
      <c r="AJ26">
        <f t="shared" si="31"/>
        <v>0</v>
      </c>
      <c r="AK26">
        <f t="shared" si="19"/>
        <v>66.515711999999979</v>
      </c>
      <c r="AL26">
        <f t="shared" si="20"/>
        <v>0</v>
      </c>
      <c r="AM26">
        <f>IFERROR(MIN(AL26,VLOOKUP(CONCATENATE(C26,"-to lingot"),negchutes,D26-2007,FALSE)),0)</f>
        <v>0</v>
      </c>
      <c r="AN26">
        <f t="shared" si="32"/>
        <v>0</v>
      </c>
      <c r="AO26" t="str">
        <f t="shared" si="33"/>
        <v>SO</v>
      </c>
      <c r="AP26">
        <f>IF(AR26=0,0,IFERROR(VLOOKUP(CONCATENATE($C26,"-to massif"),negchutes,$D26-2007,FALSE),0)*AM26/AR26)</f>
        <v>0</v>
      </c>
      <c r="AQ26">
        <f>IF(AR26=0,0,IFERROR(VLOOKUP(CONCATENATE($C26,"-to copeaux"),negchutes,$D26-2007,FALSE),0)*AM26/AR26)</f>
        <v>0</v>
      </c>
      <c r="AR26">
        <f>IFERROR(VLOOKUP(CONCATENATE($C26,"-to lingot"),negchutes,$D26-2007,FALSE),0)</f>
        <v>0</v>
      </c>
      <c r="AS26">
        <f>IF(AR26=0,0,AP26*VLOOKUP(CONCATENATE($C26,"-ac massif"),negchutes,$D26-2007,FALSE))</f>
        <v>0</v>
      </c>
      <c r="AT26">
        <f>IF(AR26=0,0,AQ26*VLOOKUP(CONCATENATE($C26,"-ac copeaux"),negchutes,$D26-2007,FALSE))</f>
        <v>0</v>
      </c>
      <c r="AU26">
        <f t="shared" si="21"/>
        <v>0</v>
      </c>
      <c r="AV26">
        <f>IFERROR(VLOOKUP(CONCATENATE(C26,"-px lingot"),negchutes,D26-2007,FALSE),0)*AM26</f>
        <v>0</v>
      </c>
      <c r="AW26">
        <f>AN26*VLOOKUP("Marché 1",pxlingot,D26-2010,FALSE)</f>
        <v>0</v>
      </c>
      <c r="AX26">
        <f t="shared" si="34"/>
        <v>0</v>
      </c>
      <c r="AY26" t="str">
        <f t="shared" si="22"/>
        <v>VAR</v>
      </c>
      <c r="AZ26">
        <f t="shared" si="23"/>
        <v>66.515711999999979</v>
      </c>
      <c r="BA26">
        <f>MAX(VLOOKUP(VLOOKUP(C26,descmarche,28,FALSE),pxlingot,D26-2010,FALSE),AX26)</f>
        <v>0</v>
      </c>
      <c r="BB26">
        <f t="shared" si="35"/>
        <v>0</v>
      </c>
      <c r="BC26" t="str">
        <f t="shared" si="24"/>
        <v>SO</v>
      </c>
    </row>
    <row r="27" spans="1:55" x14ac:dyDescent="0.25">
      <c r="A27" t="s">
        <v>16</v>
      </c>
      <c r="B27" s="4" t="s">
        <v>43</v>
      </c>
      <c r="C27" t="str">
        <f t="shared" si="37"/>
        <v>UKTMP-02</v>
      </c>
      <c r="D27">
        <v>2023</v>
      </c>
      <c r="E27">
        <v>1011</v>
      </c>
      <c r="F27" t="str">
        <f t="shared" si="1"/>
        <v>Airbus hors AD</v>
      </c>
      <c r="G27" t="str">
        <f t="shared" si="2"/>
        <v>Contrat Airbus Fasteners hors AD</v>
      </c>
      <c r="H27">
        <f t="shared" si="3"/>
        <v>0</v>
      </c>
      <c r="I27">
        <f t="shared" si="4"/>
        <v>5</v>
      </c>
      <c r="J27">
        <f t="shared" si="5"/>
        <v>1160</v>
      </c>
      <c r="K27">
        <f t="shared" si="6"/>
        <v>1011</v>
      </c>
      <c r="L27">
        <f t="shared" si="7"/>
        <v>1172.76</v>
      </c>
      <c r="M27">
        <f t="shared" si="8"/>
        <v>64.703999999999979</v>
      </c>
      <c r="N27">
        <f t="shared" si="9"/>
        <v>0</v>
      </c>
      <c r="O27" t="str">
        <f t="shared" si="10"/>
        <v>Marché 1</v>
      </c>
      <c r="P27">
        <f>VLOOKUP(O27,pxmassif,D27-2010,FALSE)*M27</f>
        <v>808.79999999999973</v>
      </c>
      <c r="Q27">
        <f>VLOOKUP(O27,pxcopeau,D27-2010,FALSE)*N27</f>
        <v>0</v>
      </c>
      <c r="R27" t="str">
        <f t="shared" si="11"/>
        <v>SO</v>
      </c>
      <c r="S27">
        <f t="shared" si="12"/>
        <v>0</v>
      </c>
      <c r="T27">
        <f t="shared" si="13"/>
        <v>0</v>
      </c>
      <c r="U27" t="str">
        <f t="shared" si="14"/>
        <v>Marché 1</v>
      </c>
      <c r="V27">
        <f>VLOOKUP(U27,pxmassif,$D27-2010,FALSE)*S27</f>
        <v>0</v>
      </c>
      <c r="W27">
        <f>VLOOKUP(U27,pxcopeau,$D27-2010,FALSE)*T27</f>
        <v>0</v>
      </c>
      <c r="X27" t="str">
        <f t="shared" si="15"/>
        <v>SO</v>
      </c>
      <c r="Y27">
        <f t="shared" si="16"/>
        <v>0</v>
      </c>
      <c r="Z27">
        <f t="shared" si="17"/>
        <v>0</v>
      </c>
      <c r="AA27" t="str">
        <f t="shared" si="18"/>
        <v>Marché 1</v>
      </c>
      <c r="AB27">
        <f>VLOOKUP(AA27,pxmassif,$D27-2010,FALSE)*Y27</f>
        <v>0</v>
      </c>
      <c r="AC27">
        <f>VLOOKUP(AA27,pxcopeau,$D27-2010,FALSE)*Z27</f>
        <v>0</v>
      </c>
      <c r="AD27">
        <f t="shared" si="25"/>
        <v>64.703999999999979</v>
      </c>
      <c r="AE27">
        <f t="shared" si="26"/>
        <v>0</v>
      </c>
      <c r="AF27">
        <f t="shared" si="27"/>
        <v>64.703999999999979</v>
      </c>
      <c r="AG27">
        <f t="shared" si="28"/>
        <v>0</v>
      </c>
      <c r="AH27">
        <f t="shared" si="29"/>
        <v>0</v>
      </c>
      <c r="AI27">
        <f t="shared" si="30"/>
        <v>64.703999999999979</v>
      </c>
      <c r="AJ27">
        <f t="shared" si="31"/>
        <v>0</v>
      </c>
      <c r="AK27">
        <f t="shared" si="19"/>
        <v>66.515711999999979</v>
      </c>
      <c r="AL27">
        <f t="shared" si="20"/>
        <v>0</v>
      </c>
      <c r="AM27">
        <f>IFERROR(MIN(AL27,VLOOKUP(CONCATENATE(C27,"-to lingot"),negchutes,D27-2007,FALSE)),0)</f>
        <v>0</v>
      </c>
      <c r="AN27">
        <f t="shared" si="32"/>
        <v>0</v>
      </c>
      <c r="AO27" t="str">
        <f t="shared" si="33"/>
        <v>SO</v>
      </c>
      <c r="AP27">
        <f>IF(AR27=0,0,IFERROR(VLOOKUP(CONCATENATE($C27,"-to massif"),negchutes,$D27-2007,FALSE),0)*AM27/AR27)</f>
        <v>0</v>
      </c>
      <c r="AQ27">
        <f>IF(AR27=0,0,IFERROR(VLOOKUP(CONCATENATE($C27,"-to copeaux"),negchutes,$D27-2007,FALSE),0)*AM27/AR27)</f>
        <v>0</v>
      </c>
      <c r="AR27">
        <f>IFERROR(VLOOKUP(CONCATENATE($C27,"-to lingot"),negchutes,$D27-2007,FALSE),0)</f>
        <v>0</v>
      </c>
      <c r="AS27">
        <f>IF(AR27=0,0,AP27*VLOOKUP(CONCATENATE($C27,"-ac massif"),negchutes,$D27-2007,FALSE))</f>
        <v>0</v>
      </c>
      <c r="AT27">
        <f>IF(AR27=0,0,AQ27*VLOOKUP(CONCATENATE($C27,"-ac copeaux"),negchutes,$D27-2007,FALSE))</f>
        <v>0</v>
      </c>
      <c r="AU27">
        <f t="shared" si="21"/>
        <v>0</v>
      </c>
      <c r="AV27">
        <f>IFERROR(VLOOKUP(CONCATENATE(C27,"-px lingot"),negchutes,D27-2007,FALSE),0)*AM27</f>
        <v>0</v>
      </c>
      <c r="AW27">
        <f>AN27*VLOOKUP("Marché 1",pxlingot,D27-2010,FALSE)</f>
        <v>0</v>
      </c>
      <c r="AX27">
        <f t="shared" si="34"/>
        <v>0</v>
      </c>
      <c r="AY27" t="str">
        <f t="shared" si="22"/>
        <v>VAR</v>
      </c>
      <c r="AZ27">
        <f t="shared" si="23"/>
        <v>66.515711999999979</v>
      </c>
      <c r="BA27">
        <f>MAX(VLOOKUP(VLOOKUP(C27,descmarche,28,FALSE),pxlingot,D27-2010,FALSE),AX27)</f>
        <v>0</v>
      </c>
      <c r="BB27">
        <f t="shared" si="35"/>
        <v>0</v>
      </c>
      <c r="BC27" t="str">
        <f t="shared" si="24"/>
        <v>SO</v>
      </c>
    </row>
    <row r="28" spans="1:55" x14ac:dyDescent="0.25">
      <c r="A28" t="s">
        <v>16</v>
      </c>
      <c r="B28" s="4" t="s">
        <v>43</v>
      </c>
      <c r="C28" t="str">
        <f t="shared" si="37"/>
        <v>UKTMP-02</v>
      </c>
      <c r="D28">
        <v>2024</v>
      </c>
      <c r="E28">
        <v>1011</v>
      </c>
      <c r="F28" t="str">
        <f t="shared" si="1"/>
        <v>Airbus hors AD</v>
      </c>
      <c r="G28" t="str">
        <f t="shared" si="2"/>
        <v>Contrat Airbus Fasteners hors AD</v>
      </c>
      <c r="H28">
        <f t="shared" si="3"/>
        <v>0</v>
      </c>
      <c r="I28">
        <f t="shared" si="4"/>
        <v>5</v>
      </c>
      <c r="J28">
        <f t="shared" si="5"/>
        <v>1160</v>
      </c>
      <c r="K28">
        <f t="shared" si="6"/>
        <v>1011</v>
      </c>
      <c r="L28">
        <f t="shared" si="7"/>
        <v>1172.76</v>
      </c>
      <c r="M28">
        <f t="shared" si="8"/>
        <v>64.703999999999979</v>
      </c>
      <c r="N28">
        <f t="shared" si="9"/>
        <v>0</v>
      </c>
      <c r="O28" t="str">
        <f t="shared" si="10"/>
        <v>Marché 1</v>
      </c>
      <c r="P28">
        <f>VLOOKUP(O28,pxmassif,D28-2010,FALSE)*M28</f>
        <v>808.79999999999973</v>
      </c>
      <c r="Q28">
        <f>VLOOKUP(O28,pxcopeau,D28-2010,FALSE)*N28</f>
        <v>0</v>
      </c>
      <c r="R28" t="str">
        <f t="shared" si="11"/>
        <v>SO</v>
      </c>
      <c r="S28">
        <f t="shared" si="12"/>
        <v>0</v>
      </c>
      <c r="T28">
        <f t="shared" si="13"/>
        <v>0</v>
      </c>
      <c r="U28" t="str">
        <f t="shared" si="14"/>
        <v>Marché 1</v>
      </c>
      <c r="V28">
        <f>VLOOKUP(U28,pxmassif,$D28-2010,FALSE)*S28</f>
        <v>0</v>
      </c>
      <c r="W28">
        <f>VLOOKUP(U28,pxcopeau,$D28-2010,FALSE)*T28</f>
        <v>0</v>
      </c>
      <c r="X28" t="str">
        <f t="shared" si="15"/>
        <v>SO</v>
      </c>
      <c r="Y28">
        <f t="shared" si="16"/>
        <v>0</v>
      </c>
      <c r="Z28">
        <f t="shared" si="17"/>
        <v>0</v>
      </c>
      <c r="AA28" t="str">
        <f t="shared" si="18"/>
        <v>Marché 1</v>
      </c>
      <c r="AB28">
        <f>VLOOKUP(AA28,pxmassif,$D28-2010,FALSE)*Y28</f>
        <v>0</v>
      </c>
      <c r="AC28">
        <f>VLOOKUP(AA28,pxcopeau,$D28-2010,FALSE)*Z28</f>
        <v>0</v>
      </c>
      <c r="AD28">
        <f t="shared" si="25"/>
        <v>64.703999999999979</v>
      </c>
      <c r="AE28">
        <f t="shared" si="26"/>
        <v>0</v>
      </c>
      <c r="AF28">
        <f t="shared" si="27"/>
        <v>64.703999999999979</v>
      </c>
      <c r="AG28">
        <f t="shared" si="28"/>
        <v>0</v>
      </c>
      <c r="AH28">
        <f t="shared" si="29"/>
        <v>0</v>
      </c>
      <c r="AI28">
        <f t="shared" si="30"/>
        <v>64.703999999999979</v>
      </c>
      <c r="AJ28">
        <f t="shared" si="31"/>
        <v>0</v>
      </c>
      <c r="AK28">
        <f t="shared" si="19"/>
        <v>66.515711999999979</v>
      </c>
      <c r="AL28">
        <f t="shared" si="20"/>
        <v>0</v>
      </c>
      <c r="AM28">
        <f>IFERROR(MIN(AL28,VLOOKUP(CONCATENATE(C28,"-to lingot"),negchutes,D28-2007,FALSE)),0)</f>
        <v>0</v>
      </c>
      <c r="AN28">
        <f t="shared" si="32"/>
        <v>0</v>
      </c>
      <c r="AO28" t="str">
        <f t="shared" si="33"/>
        <v>SO</v>
      </c>
      <c r="AP28">
        <f>IF(AR28=0,0,IFERROR(VLOOKUP(CONCATENATE($C28,"-to massif"),negchutes,$D28-2007,FALSE),0)*AM28/AR28)</f>
        <v>0</v>
      </c>
      <c r="AQ28">
        <f>IF(AR28=0,0,IFERROR(VLOOKUP(CONCATENATE($C28,"-to copeaux"),negchutes,$D28-2007,FALSE),0)*AM28/AR28)</f>
        <v>0</v>
      </c>
      <c r="AR28">
        <f>IFERROR(VLOOKUP(CONCATENATE($C28,"-to lingot"),negchutes,$D28-2007,FALSE),0)</f>
        <v>0</v>
      </c>
      <c r="AS28">
        <f>IF(AR28=0,0,AP28*VLOOKUP(CONCATENATE($C28,"-ac massif"),negchutes,$D28-2007,FALSE))</f>
        <v>0</v>
      </c>
      <c r="AT28">
        <f>IF(AR28=0,0,AQ28*VLOOKUP(CONCATENATE($C28,"-ac copeaux"),negchutes,$D28-2007,FALSE))</f>
        <v>0</v>
      </c>
      <c r="AU28">
        <f t="shared" si="21"/>
        <v>0</v>
      </c>
      <c r="AV28">
        <f>IFERROR(VLOOKUP(CONCATENATE(C28,"-px lingot"),negchutes,D28-2007,FALSE),0)*AM28</f>
        <v>0</v>
      </c>
      <c r="AW28">
        <f>AN28*VLOOKUP("Marché 1",pxlingot,D28-2010,FALSE)</f>
        <v>0</v>
      </c>
      <c r="AX28">
        <f t="shared" si="34"/>
        <v>0</v>
      </c>
      <c r="AY28" t="str">
        <f t="shared" si="22"/>
        <v>VAR</v>
      </c>
      <c r="AZ28">
        <f t="shared" si="23"/>
        <v>66.515711999999979</v>
      </c>
      <c r="BA28">
        <f>MAX(VLOOKUP(VLOOKUP(C28,descmarche,28,FALSE),pxlingot,D28-2010,FALSE),AX28)</f>
        <v>0</v>
      </c>
      <c r="BB28">
        <f t="shared" si="35"/>
        <v>0</v>
      </c>
      <c r="BC28" t="str">
        <f t="shared" si="24"/>
        <v>SO</v>
      </c>
    </row>
    <row r="29" spans="1:55" x14ac:dyDescent="0.25">
      <c r="A29" t="s">
        <v>16</v>
      </c>
      <c r="B29" s="4" t="s">
        <v>44</v>
      </c>
      <c r="C29" t="str">
        <f t="shared" si="37"/>
        <v>UKTMP-03</v>
      </c>
      <c r="D29">
        <v>2012</v>
      </c>
      <c r="E29">
        <v>0</v>
      </c>
      <c r="F29" t="str">
        <f t="shared" si="1"/>
        <v>Boeing</v>
      </c>
      <c r="G29" t="str">
        <f t="shared" si="2"/>
        <v>Structure Boeing source UKTMP</v>
      </c>
      <c r="H29">
        <f t="shared" si="3"/>
        <v>0</v>
      </c>
      <c r="I29">
        <f t="shared" si="4"/>
        <v>5</v>
      </c>
      <c r="J29">
        <f t="shared" si="5"/>
        <v>1210</v>
      </c>
      <c r="K29">
        <f t="shared" si="6"/>
        <v>0</v>
      </c>
      <c r="L29">
        <f t="shared" si="7"/>
        <v>0</v>
      </c>
      <c r="M29">
        <f t="shared" si="8"/>
        <v>0</v>
      </c>
      <c r="N29">
        <f t="shared" si="9"/>
        <v>0</v>
      </c>
      <c r="O29" t="str">
        <f t="shared" si="10"/>
        <v>Marché 1</v>
      </c>
      <c r="P29">
        <f>VLOOKUP(O29,pxmassif,D29-2010,FALSE)*M29</f>
        <v>0</v>
      </c>
      <c r="Q29">
        <f>VLOOKUP(O29,pxcopeau,D29-2010,FALSE)*N29</f>
        <v>0</v>
      </c>
      <c r="R29" t="str">
        <f t="shared" si="11"/>
        <v>SO</v>
      </c>
      <c r="S29">
        <f t="shared" si="12"/>
        <v>0</v>
      </c>
      <c r="T29">
        <f t="shared" si="13"/>
        <v>0</v>
      </c>
      <c r="U29" t="str">
        <f t="shared" si="14"/>
        <v>Marché 1</v>
      </c>
      <c r="V29">
        <f>VLOOKUP(U29,pxmassif,$D29-2010,FALSE)*S29</f>
        <v>0</v>
      </c>
      <c r="W29">
        <f>VLOOKUP(U29,pxcopeau,$D29-2010,FALSE)*T29</f>
        <v>0</v>
      </c>
      <c r="X29" t="str">
        <f t="shared" si="15"/>
        <v>SO</v>
      </c>
      <c r="Y29">
        <f t="shared" si="16"/>
        <v>0</v>
      </c>
      <c r="Z29">
        <f t="shared" si="17"/>
        <v>0</v>
      </c>
      <c r="AA29" t="str">
        <f t="shared" si="18"/>
        <v>Marché 1</v>
      </c>
      <c r="AB29">
        <f>VLOOKUP(AA29,pxmassif,$D29-2010,FALSE)*Y29</f>
        <v>0</v>
      </c>
      <c r="AC29">
        <f>VLOOKUP(AA29,pxcopeau,$D29-2010,FALSE)*Z29</f>
        <v>0</v>
      </c>
      <c r="AD29">
        <f t="shared" si="25"/>
        <v>0</v>
      </c>
      <c r="AE29">
        <f t="shared" si="26"/>
        <v>0</v>
      </c>
      <c r="AF29">
        <f t="shared" si="27"/>
        <v>0</v>
      </c>
      <c r="AG29">
        <f t="shared" si="28"/>
        <v>0</v>
      </c>
      <c r="AH29">
        <f t="shared" si="29"/>
        <v>0</v>
      </c>
      <c r="AI29">
        <f t="shared" si="30"/>
        <v>0</v>
      </c>
      <c r="AJ29">
        <f t="shared" si="31"/>
        <v>0</v>
      </c>
      <c r="AK29">
        <f t="shared" si="19"/>
        <v>0</v>
      </c>
      <c r="AL29">
        <f t="shared" si="20"/>
        <v>0</v>
      </c>
      <c r="AM29">
        <f>IFERROR(MIN(AL29,VLOOKUP(CONCATENATE(C29,"-to lingot"),negchutes,D29-2007,FALSE)),0)</f>
        <v>0</v>
      </c>
      <c r="AN29">
        <f t="shared" si="32"/>
        <v>0</v>
      </c>
      <c r="AO29" t="str">
        <f t="shared" si="33"/>
        <v>SO</v>
      </c>
      <c r="AP29">
        <f>IF(AR29=0,0,IFERROR(VLOOKUP(CONCATENATE($C29,"-to massif"),negchutes,$D29-2007,FALSE),0)*AM29/AR29)</f>
        <v>0</v>
      </c>
      <c r="AQ29">
        <f>IF(AR29=0,0,IFERROR(VLOOKUP(CONCATENATE($C29,"-to copeaux"),negchutes,$D29-2007,FALSE),0)*AM29/AR29)</f>
        <v>0</v>
      </c>
      <c r="AR29">
        <f>IFERROR(VLOOKUP(CONCATENATE($C29,"-to lingot"),negchutes,$D29-2007,FALSE),0)</f>
        <v>0</v>
      </c>
      <c r="AS29">
        <f>IF(AR29=0,0,AP29*VLOOKUP(CONCATENATE($C29,"-ac massif"),negchutes,$D29-2007,FALSE))</f>
        <v>0</v>
      </c>
      <c r="AT29">
        <f>IF(AR29=0,0,AQ29*VLOOKUP(CONCATENATE($C29,"-ac copeaux"),negchutes,$D29-2007,FALSE))</f>
        <v>0</v>
      </c>
      <c r="AU29">
        <f t="shared" si="21"/>
        <v>0</v>
      </c>
      <c r="AV29">
        <f>IFERROR(VLOOKUP(CONCATENATE(C29,"-px lingot"),negchutes,D29-2007,FALSE),0)*AM29</f>
        <v>0</v>
      </c>
      <c r="AW29">
        <f>AN29*VLOOKUP("Marché 1",pxlingot,D29-2010,FALSE)</f>
        <v>0</v>
      </c>
      <c r="AX29">
        <f t="shared" si="34"/>
        <v>0</v>
      </c>
      <c r="AY29" t="str">
        <f t="shared" si="22"/>
        <v>VAR</v>
      </c>
      <c r="AZ29">
        <f t="shared" si="23"/>
        <v>0</v>
      </c>
      <c r="BA29">
        <f>MAX(VLOOKUP(VLOOKUP(C29,descmarche,28,FALSE),pxlingot,D29-2010,FALSE),AX29)</f>
        <v>0</v>
      </c>
      <c r="BB29">
        <f t="shared" si="35"/>
        <v>0</v>
      </c>
      <c r="BC29" t="str">
        <f t="shared" si="24"/>
        <v>SO</v>
      </c>
    </row>
    <row r="30" spans="1:55" x14ac:dyDescent="0.25">
      <c r="A30" t="s">
        <v>16</v>
      </c>
      <c r="B30" s="4" t="s">
        <v>44</v>
      </c>
      <c r="C30" t="str">
        <f t="shared" si="37"/>
        <v>UKTMP-03</v>
      </c>
      <c r="D30">
        <v>2013</v>
      </c>
      <c r="E30">
        <v>45</v>
      </c>
      <c r="F30" t="str">
        <f t="shared" si="1"/>
        <v>Boeing</v>
      </c>
      <c r="G30" t="str">
        <f t="shared" si="2"/>
        <v>Structure Boeing source UKTMP</v>
      </c>
      <c r="H30">
        <f t="shared" si="3"/>
        <v>0</v>
      </c>
      <c r="I30">
        <f t="shared" si="4"/>
        <v>5</v>
      </c>
      <c r="J30">
        <f t="shared" si="5"/>
        <v>1210</v>
      </c>
      <c r="K30">
        <f t="shared" si="6"/>
        <v>45</v>
      </c>
      <c r="L30">
        <f t="shared" si="7"/>
        <v>54.449999999999996</v>
      </c>
      <c r="M30">
        <f t="shared" si="8"/>
        <v>2.3624999999999998</v>
      </c>
      <c r="N30">
        <f t="shared" si="9"/>
        <v>2.5987499999999999</v>
      </c>
      <c r="O30" t="str">
        <f t="shared" si="10"/>
        <v>Marché 1</v>
      </c>
      <c r="P30">
        <f>VLOOKUP(O30,pxmassif,D30-2010,FALSE)*M30</f>
        <v>29.531249999999996</v>
      </c>
      <c r="Q30">
        <f>VLOOKUP(O30,pxcopeau,D30-2010,FALSE)*N30</f>
        <v>19.490624999999998</v>
      </c>
      <c r="R30" t="str">
        <f t="shared" si="11"/>
        <v>SO</v>
      </c>
      <c r="S30">
        <f t="shared" si="12"/>
        <v>0</v>
      </c>
      <c r="T30">
        <f t="shared" si="13"/>
        <v>0</v>
      </c>
      <c r="U30" t="str">
        <f t="shared" si="14"/>
        <v>Marché 1</v>
      </c>
      <c r="V30">
        <f>VLOOKUP(U30,pxmassif,$D30-2010,FALSE)*S30</f>
        <v>0</v>
      </c>
      <c r="W30">
        <f>VLOOKUP(U30,pxcopeau,$D30-2010,FALSE)*T30</f>
        <v>0</v>
      </c>
      <c r="X30" t="str">
        <f t="shared" si="15"/>
        <v>SO</v>
      </c>
      <c r="Y30">
        <f t="shared" si="16"/>
        <v>0</v>
      </c>
      <c r="Z30">
        <f t="shared" si="17"/>
        <v>0</v>
      </c>
      <c r="AA30" t="str">
        <f t="shared" si="18"/>
        <v>Marché 1</v>
      </c>
      <c r="AB30">
        <f>VLOOKUP(AA30,pxmassif,$D30-2010,FALSE)*Y30</f>
        <v>0</v>
      </c>
      <c r="AC30">
        <f>VLOOKUP(AA30,pxcopeau,$D30-2010,FALSE)*Z30</f>
        <v>0</v>
      </c>
      <c r="AD30">
        <f t="shared" si="25"/>
        <v>2.3624999999999998</v>
      </c>
      <c r="AE30">
        <f t="shared" si="26"/>
        <v>2.5987499999999999</v>
      </c>
      <c r="AF30">
        <f t="shared" si="27"/>
        <v>4.9612499999999997</v>
      </c>
      <c r="AG30">
        <f t="shared" si="28"/>
        <v>0</v>
      </c>
      <c r="AH30">
        <f t="shared" si="29"/>
        <v>0</v>
      </c>
      <c r="AI30">
        <f t="shared" si="30"/>
        <v>2.3624999999999998</v>
      </c>
      <c r="AJ30">
        <f t="shared" si="31"/>
        <v>2.5987499999999999</v>
      </c>
      <c r="AK30">
        <f t="shared" si="19"/>
        <v>4.6557787499999996</v>
      </c>
      <c r="AL30">
        <f t="shared" si="20"/>
        <v>0</v>
      </c>
      <c r="AM30">
        <f>IFERROR(MIN(AL30,VLOOKUP(CONCATENATE(C30,"-to lingot"),negchutes,D30-2007,FALSE)),0)</f>
        <v>0</v>
      </c>
      <c r="AN30">
        <f t="shared" si="32"/>
        <v>0</v>
      </c>
      <c r="AO30" t="str">
        <f t="shared" si="33"/>
        <v>SO</v>
      </c>
      <c r="AP30">
        <f>IF(AR30=0,0,IFERROR(VLOOKUP(CONCATENATE($C30,"-to massif"),negchutes,$D30-2007,FALSE),0)*AM30/AR30)</f>
        <v>0</v>
      </c>
      <c r="AQ30">
        <f>IF(AR30=0,0,IFERROR(VLOOKUP(CONCATENATE($C30,"-to copeaux"),negchutes,$D30-2007,FALSE),0)*AM30/AR30)</f>
        <v>0</v>
      </c>
      <c r="AR30">
        <f>IFERROR(VLOOKUP(CONCATENATE($C30,"-to lingot"),negchutes,$D30-2007,FALSE),0)</f>
        <v>0</v>
      </c>
      <c r="AS30">
        <f>IF(AR30=0,0,AP30*VLOOKUP(CONCATENATE($C30,"-ac massif"),negchutes,$D30-2007,FALSE))</f>
        <v>0</v>
      </c>
      <c r="AT30">
        <f>IF(AR30=0,0,AQ30*VLOOKUP(CONCATENATE($C30,"-ac copeaux"),negchutes,$D30-2007,FALSE))</f>
        <v>0</v>
      </c>
      <c r="AU30">
        <f t="shared" si="21"/>
        <v>0</v>
      </c>
      <c r="AV30">
        <f>IFERROR(VLOOKUP(CONCATENATE(C30,"-px lingot"),negchutes,D30-2007,FALSE),0)*AM30</f>
        <v>0</v>
      </c>
      <c r="AW30">
        <f>AN30*VLOOKUP("Marché 1",pxlingot,D30-2010,FALSE)</f>
        <v>0</v>
      </c>
      <c r="AX30">
        <f t="shared" si="34"/>
        <v>0</v>
      </c>
      <c r="AY30" t="str">
        <f t="shared" si="22"/>
        <v>VAR</v>
      </c>
      <c r="AZ30">
        <f t="shared" si="23"/>
        <v>4.6557787499999996</v>
      </c>
      <c r="BA30">
        <f>MAX(VLOOKUP(VLOOKUP(C30,descmarche,28,FALSE),pxlingot,D30-2010,FALSE),AX30)</f>
        <v>0</v>
      </c>
      <c r="BB30">
        <f t="shared" si="35"/>
        <v>0</v>
      </c>
      <c r="BC30" t="str">
        <f t="shared" si="24"/>
        <v>SO</v>
      </c>
    </row>
    <row r="31" spans="1:55" x14ac:dyDescent="0.25">
      <c r="A31" t="s">
        <v>16</v>
      </c>
      <c r="B31" s="4" t="s">
        <v>44</v>
      </c>
      <c r="C31" t="str">
        <f t="shared" ref="C31:C43" si="38">CONCATENATE(A31,"-",B31)</f>
        <v>UKTMP-03</v>
      </c>
      <c r="D31">
        <v>2014</v>
      </c>
      <c r="E31">
        <v>45</v>
      </c>
      <c r="F31" t="str">
        <f t="shared" si="1"/>
        <v>Boeing</v>
      </c>
      <c r="G31" t="str">
        <f t="shared" si="2"/>
        <v>Structure Boeing source UKTMP</v>
      </c>
      <c r="H31">
        <f t="shared" si="3"/>
        <v>0</v>
      </c>
      <c r="I31">
        <f t="shared" si="4"/>
        <v>5</v>
      </c>
      <c r="J31">
        <f t="shared" si="5"/>
        <v>1210</v>
      </c>
      <c r="K31">
        <f t="shared" si="6"/>
        <v>45</v>
      </c>
      <c r="L31">
        <f t="shared" si="7"/>
        <v>54.449999999999996</v>
      </c>
      <c r="M31">
        <f t="shared" si="8"/>
        <v>2.3624999999999998</v>
      </c>
      <c r="N31">
        <f t="shared" si="9"/>
        <v>2.5987499999999999</v>
      </c>
      <c r="O31" t="str">
        <f t="shared" si="10"/>
        <v>Marché 1</v>
      </c>
      <c r="P31">
        <f>VLOOKUP(O31,pxmassif,D31-2010,FALSE)*M31</f>
        <v>29.531249999999996</v>
      </c>
      <c r="Q31">
        <f>VLOOKUP(O31,pxcopeau,D31-2010,FALSE)*N31</f>
        <v>19.490624999999998</v>
      </c>
      <c r="R31" t="str">
        <f t="shared" si="11"/>
        <v>SO</v>
      </c>
      <c r="S31">
        <f t="shared" si="12"/>
        <v>0</v>
      </c>
      <c r="T31">
        <f t="shared" si="13"/>
        <v>0</v>
      </c>
      <c r="U31" t="str">
        <f t="shared" si="14"/>
        <v>Marché 1</v>
      </c>
      <c r="V31">
        <f>VLOOKUP(U31,pxmassif,$D31-2010,FALSE)*S31</f>
        <v>0</v>
      </c>
      <c r="W31">
        <f>VLOOKUP(U31,pxcopeau,$D31-2010,FALSE)*T31</f>
        <v>0</v>
      </c>
      <c r="X31" t="str">
        <f t="shared" si="15"/>
        <v>SO</v>
      </c>
      <c r="Y31">
        <f t="shared" si="16"/>
        <v>0</v>
      </c>
      <c r="Z31">
        <f t="shared" si="17"/>
        <v>0</v>
      </c>
      <c r="AA31" t="str">
        <f t="shared" si="18"/>
        <v>Marché 1</v>
      </c>
      <c r="AB31">
        <f>VLOOKUP(AA31,pxmassif,$D31-2010,FALSE)*Y31</f>
        <v>0</v>
      </c>
      <c r="AC31">
        <f>VLOOKUP(AA31,pxcopeau,$D31-2010,FALSE)*Z31</f>
        <v>0</v>
      </c>
      <c r="AD31">
        <f t="shared" si="25"/>
        <v>2.3624999999999998</v>
      </c>
      <c r="AE31">
        <f t="shared" si="26"/>
        <v>2.5987499999999999</v>
      </c>
      <c r="AF31">
        <f t="shared" si="27"/>
        <v>4.9612499999999997</v>
      </c>
      <c r="AG31">
        <f t="shared" si="28"/>
        <v>0</v>
      </c>
      <c r="AH31">
        <f t="shared" si="29"/>
        <v>0</v>
      </c>
      <c r="AI31">
        <f t="shared" si="30"/>
        <v>2.3624999999999998</v>
      </c>
      <c r="AJ31">
        <f t="shared" si="31"/>
        <v>2.5987499999999999</v>
      </c>
      <c r="AK31">
        <f t="shared" si="19"/>
        <v>4.6557787499999996</v>
      </c>
      <c r="AL31">
        <f t="shared" si="20"/>
        <v>0</v>
      </c>
      <c r="AM31">
        <f>IFERROR(MIN(AL31,VLOOKUP(CONCATENATE(C31,"-to lingot"),negchutes,D31-2007,FALSE)),0)</f>
        <v>0</v>
      </c>
      <c r="AN31">
        <f t="shared" si="32"/>
        <v>0</v>
      </c>
      <c r="AO31" t="str">
        <f t="shared" si="33"/>
        <v>SO</v>
      </c>
      <c r="AP31">
        <f>IF(AR31=0,0,IFERROR(VLOOKUP(CONCATENATE($C31,"-to massif"),negchutes,$D31-2007,FALSE),0)*AM31/AR31)</f>
        <v>0</v>
      </c>
      <c r="AQ31">
        <f>IF(AR31=0,0,IFERROR(VLOOKUP(CONCATENATE($C31,"-to copeaux"),negchutes,$D31-2007,FALSE),0)*AM31/AR31)</f>
        <v>0</v>
      </c>
      <c r="AR31">
        <f>IFERROR(VLOOKUP(CONCATENATE($C31,"-to lingot"),negchutes,$D31-2007,FALSE),0)</f>
        <v>0</v>
      </c>
      <c r="AS31">
        <f>IF(AR31=0,0,AP31*VLOOKUP(CONCATENATE($C31,"-ac massif"),negchutes,$D31-2007,FALSE))</f>
        <v>0</v>
      </c>
      <c r="AT31">
        <f>IF(AR31=0,0,AQ31*VLOOKUP(CONCATENATE($C31,"-ac copeaux"),negchutes,$D31-2007,FALSE))</f>
        <v>0</v>
      </c>
      <c r="AU31">
        <f t="shared" si="21"/>
        <v>0</v>
      </c>
      <c r="AV31">
        <f>IFERROR(VLOOKUP(CONCATENATE(C31,"-px lingot"),negchutes,D31-2007,FALSE),0)*AM31</f>
        <v>0</v>
      </c>
      <c r="AW31">
        <f>AN31*VLOOKUP("Marché 1",pxlingot,D31-2010,FALSE)</f>
        <v>0</v>
      </c>
      <c r="AX31">
        <f t="shared" si="34"/>
        <v>0</v>
      </c>
      <c r="AY31" t="str">
        <f t="shared" si="22"/>
        <v>VAR</v>
      </c>
      <c r="AZ31">
        <f t="shared" si="23"/>
        <v>4.6557787499999996</v>
      </c>
      <c r="BA31">
        <f>MAX(VLOOKUP(VLOOKUP(C31,descmarche,28,FALSE),pxlingot,D31-2010,FALSE),AX31)</f>
        <v>0</v>
      </c>
      <c r="BB31">
        <f t="shared" si="35"/>
        <v>0</v>
      </c>
      <c r="BC31" t="str">
        <f t="shared" si="24"/>
        <v>SO</v>
      </c>
    </row>
    <row r="32" spans="1:55" x14ac:dyDescent="0.25">
      <c r="A32" t="s">
        <v>16</v>
      </c>
      <c r="B32" s="4" t="s">
        <v>44</v>
      </c>
      <c r="C32" t="str">
        <f t="shared" si="38"/>
        <v>UKTMP-03</v>
      </c>
      <c r="D32">
        <v>2015</v>
      </c>
      <c r="E32">
        <v>100</v>
      </c>
      <c r="F32" t="str">
        <f t="shared" si="1"/>
        <v>Boeing</v>
      </c>
      <c r="G32" t="str">
        <f t="shared" si="2"/>
        <v>Structure Boeing source UKTMP</v>
      </c>
      <c r="H32">
        <f t="shared" si="3"/>
        <v>0</v>
      </c>
      <c r="I32">
        <f t="shared" si="4"/>
        <v>5</v>
      </c>
      <c r="J32">
        <f t="shared" si="5"/>
        <v>1210</v>
      </c>
      <c r="K32">
        <f t="shared" si="6"/>
        <v>100</v>
      </c>
      <c r="L32">
        <f t="shared" si="7"/>
        <v>121</v>
      </c>
      <c r="M32">
        <f t="shared" si="8"/>
        <v>5.2499999999999991</v>
      </c>
      <c r="N32">
        <f t="shared" si="9"/>
        <v>5.7749999999999995</v>
      </c>
      <c r="O32" t="str">
        <f t="shared" si="10"/>
        <v>Marché 1</v>
      </c>
      <c r="P32">
        <f>VLOOKUP(O32,pxmassif,D32-2010,FALSE)*M32</f>
        <v>65.624999999999986</v>
      </c>
      <c r="Q32">
        <f>VLOOKUP(O32,pxcopeau,D32-2010,FALSE)*N32</f>
        <v>43.312499999999993</v>
      </c>
      <c r="R32" t="str">
        <f t="shared" si="11"/>
        <v>SO</v>
      </c>
      <c r="S32">
        <f t="shared" si="12"/>
        <v>0</v>
      </c>
      <c r="T32">
        <f t="shared" si="13"/>
        <v>0</v>
      </c>
      <c r="U32" t="str">
        <f t="shared" si="14"/>
        <v>Marché 1</v>
      </c>
      <c r="V32">
        <f>VLOOKUP(U32,pxmassif,$D32-2010,FALSE)*S32</f>
        <v>0</v>
      </c>
      <c r="W32">
        <f>VLOOKUP(U32,pxcopeau,$D32-2010,FALSE)*T32</f>
        <v>0</v>
      </c>
      <c r="X32" t="str">
        <f t="shared" si="15"/>
        <v>SO</v>
      </c>
      <c r="Y32">
        <f t="shared" si="16"/>
        <v>0</v>
      </c>
      <c r="Z32">
        <f t="shared" si="17"/>
        <v>0</v>
      </c>
      <c r="AA32" t="str">
        <f t="shared" si="18"/>
        <v>Marché 1</v>
      </c>
      <c r="AB32">
        <f>VLOOKUP(AA32,pxmassif,$D32-2010,FALSE)*Y32</f>
        <v>0</v>
      </c>
      <c r="AC32">
        <f>VLOOKUP(AA32,pxcopeau,$D32-2010,FALSE)*Z32</f>
        <v>0</v>
      </c>
      <c r="AD32">
        <f t="shared" si="25"/>
        <v>5.2499999999999991</v>
      </c>
      <c r="AE32">
        <f t="shared" si="26"/>
        <v>5.7749999999999995</v>
      </c>
      <c r="AF32">
        <f t="shared" si="27"/>
        <v>11.024999999999999</v>
      </c>
      <c r="AG32">
        <f t="shared" si="28"/>
        <v>0</v>
      </c>
      <c r="AH32">
        <f t="shared" si="29"/>
        <v>0</v>
      </c>
      <c r="AI32">
        <f t="shared" si="30"/>
        <v>5.2499999999999991</v>
      </c>
      <c r="AJ32">
        <f t="shared" si="31"/>
        <v>5.7749999999999995</v>
      </c>
      <c r="AK32">
        <f t="shared" si="19"/>
        <v>10.346174999999999</v>
      </c>
      <c r="AL32">
        <f t="shared" si="20"/>
        <v>0</v>
      </c>
      <c r="AM32">
        <f>IFERROR(MIN(AL32,VLOOKUP(CONCATENATE(C32,"-to lingot"),negchutes,D32-2007,FALSE)),0)</f>
        <v>0</v>
      </c>
      <c r="AN32">
        <f t="shared" si="32"/>
        <v>0</v>
      </c>
      <c r="AO32" t="str">
        <f t="shared" si="33"/>
        <v>SO</v>
      </c>
      <c r="AP32">
        <f>IF(AR32=0,0,IFERROR(VLOOKUP(CONCATENATE($C32,"-to massif"),negchutes,$D32-2007,FALSE),0)*AM32/AR32)</f>
        <v>0</v>
      </c>
      <c r="AQ32">
        <f>IF(AR32=0,0,IFERROR(VLOOKUP(CONCATENATE($C32,"-to copeaux"),negchutes,$D32-2007,FALSE),0)*AM32/AR32)</f>
        <v>0</v>
      </c>
      <c r="AR32">
        <f>IFERROR(VLOOKUP(CONCATENATE($C32,"-to lingot"),negchutes,$D32-2007,FALSE),0)</f>
        <v>0</v>
      </c>
      <c r="AS32">
        <f>IF(AR32=0,0,AP32*VLOOKUP(CONCATENATE($C32,"-ac massif"),negchutes,$D32-2007,FALSE))</f>
        <v>0</v>
      </c>
      <c r="AT32">
        <f>IF(AR32=0,0,AQ32*VLOOKUP(CONCATENATE($C32,"-ac copeaux"),negchutes,$D32-2007,FALSE))</f>
        <v>0</v>
      </c>
      <c r="AU32">
        <f t="shared" si="21"/>
        <v>0</v>
      </c>
      <c r="AV32">
        <f>IFERROR(VLOOKUP(CONCATENATE(C32,"-px lingot"),negchutes,D32-2007,FALSE),0)*AM32</f>
        <v>0</v>
      </c>
      <c r="AW32">
        <f>AN32*VLOOKUP("Marché 1",pxlingot,D32-2010,FALSE)</f>
        <v>0</v>
      </c>
      <c r="AX32">
        <f t="shared" si="34"/>
        <v>0</v>
      </c>
      <c r="AY32" t="str">
        <f t="shared" si="22"/>
        <v>VAR</v>
      </c>
      <c r="AZ32">
        <f t="shared" si="23"/>
        <v>10.346174999999999</v>
      </c>
      <c r="BA32">
        <f>MAX(VLOOKUP(VLOOKUP(C32,descmarche,28,FALSE),pxlingot,D32-2010,FALSE),AX32)</f>
        <v>0</v>
      </c>
      <c r="BB32">
        <f t="shared" si="35"/>
        <v>0</v>
      </c>
      <c r="BC32" t="str">
        <f t="shared" si="24"/>
        <v>SO</v>
      </c>
    </row>
    <row r="33" spans="1:55" x14ac:dyDescent="0.25">
      <c r="A33" t="s">
        <v>16</v>
      </c>
      <c r="B33" s="4" t="s">
        <v>44</v>
      </c>
      <c r="C33" t="str">
        <f t="shared" si="38"/>
        <v>UKTMP-03</v>
      </c>
      <c r="D33">
        <v>2016</v>
      </c>
      <c r="E33">
        <v>500</v>
      </c>
      <c r="F33" t="str">
        <f t="shared" si="1"/>
        <v>Boeing</v>
      </c>
      <c r="G33" t="str">
        <f t="shared" si="2"/>
        <v>Structure Boeing source UKTMP</v>
      </c>
      <c r="H33">
        <f t="shared" si="3"/>
        <v>0</v>
      </c>
      <c r="I33">
        <f t="shared" si="4"/>
        <v>5</v>
      </c>
      <c r="J33">
        <f t="shared" si="5"/>
        <v>1210</v>
      </c>
      <c r="K33">
        <f t="shared" si="6"/>
        <v>500</v>
      </c>
      <c r="L33">
        <f t="shared" si="7"/>
        <v>605</v>
      </c>
      <c r="M33">
        <f t="shared" si="8"/>
        <v>26.249999999999996</v>
      </c>
      <c r="N33">
        <f t="shared" si="9"/>
        <v>28.874999999999996</v>
      </c>
      <c r="O33" t="str">
        <f t="shared" si="10"/>
        <v>Marché 1</v>
      </c>
      <c r="P33">
        <f>VLOOKUP(O33,pxmassif,D33-2010,FALSE)*M33</f>
        <v>328.12499999999994</v>
      </c>
      <c r="Q33">
        <f>VLOOKUP(O33,pxcopeau,D33-2010,FALSE)*N33</f>
        <v>216.56249999999997</v>
      </c>
      <c r="R33" t="str">
        <f t="shared" si="11"/>
        <v>SO</v>
      </c>
      <c r="S33">
        <f t="shared" si="12"/>
        <v>0</v>
      </c>
      <c r="T33">
        <f t="shared" si="13"/>
        <v>0</v>
      </c>
      <c r="U33" t="str">
        <f t="shared" si="14"/>
        <v>Marché 1</v>
      </c>
      <c r="V33">
        <f>VLOOKUP(U33,pxmassif,$D33-2010,FALSE)*S33</f>
        <v>0</v>
      </c>
      <c r="W33">
        <f>VLOOKUP(U33,pxcopeau,$D33-2010,FALSE)*T33</f>
        <v>0</v>
      </c>
      <c r="X33" t="str">
        <f t="shared" si="15"/>
        <v>SO</v>
      </c>
      <c r="Y33">
        <f t="shared" si="16"/>
        <v>0</v>
      </c>
      <c r="Z33">
        <f t="shared" si="17"/>
        <v>0</v>
      </c>
      <c r="AA33" t="str">
        <f t="shared" si="18"/>
        <v>Marché 1</v>
      </c>
      <c r="AB33">
        <f>VLOOKUP(AA33,pxmassif,$D33-2010,FALSE)*Y33</f>
        <v>0</v>
      </c>
      <c r="AC33">
        <f>VLOOKUP(AA33,pxcopeau,$D33-2010,FALSE)*Z33</f>
        <v>0</v>
      </c>
      <c r="AD33">
        <f t="shared" si="25"/>
        <v>26.249999999999996</v>
      </c>
      <c r="AE33">
        <f t="shared" si="26"/>
        <v>28.874999999999996</v>
      </c>
      <c r="AF33">
        <f t="shared" si="27"/>
        <v>55.124999999999993</v>
      </c>
      <c r="AG33">
        <f t="shared" si="28"/>
        <v>0</v>
      </c>
      <c r="AH33">
        <f t="shared" si="29"/>
        <v>0</v>
      </c>
      <c r="AI33">
        <f t="shared" si="30"/>
        <v>26.249999999999996</v>
      </c>
      <c r="AJ33">
        <f t="shared" si="31"/>
        <v>28.874999999999996</v>
      </c>
      <c r="AK33">
        <f t="shared" si="19"/>
        <v>51.730874999999997</v>
      </c>
      <c r="AL33">
        <f t="shared" si="20"/>
        <v>0</v>
      </c>
      <c r="AM33">
        <f>IFERROR(MIN(AL33,VLOOKUP(CONCATENATE(C33,"-to lingot"),negchutes,D33-2007,FALSE)),0)</f>
        <v>0</v>
      </c>
      <c r="AN33">
        <f t="shared" si="32"/>
        <v>0</v>
      </c>
      <c r="AO33" t="str">
        <f t="shared" si="33"/>
        <v>SO</v>
      </c>
      <c r="AP33">
        <f>IF(AR33=0,0,IFERROR(VLOOKUP(CONCATENATE($C33,"-to massif"),negchutes,$D33-2007,FALSE),0)*AM33/AR33)</f>
        <v>0</v>
      </c>
      <c r="AQ33">
        <f>IF(AR33=0,0,IFERROR(VLOOKUP(CONCATENATE($C33,"-to copeaux"),negchutes,$D33-2007,FALSE),0)*AM33/AR33)</f>
        <v>0</v>
      </c>
      <c r="AR33">
        <f>IFERROR(VLOOKUP(CONCATENATE($C33,"-to lingot"),negchutes,$D33-2007,FALSE),0)</f>
        <v>0</v>
      </c>
      <c r="AS33">
        <f>IF(AR33=0,0,AP33*VLOOKUP(CONCATENATE($C33,"-ac massif"),negchutes,$D33-2007,FALSE))</f>
        <v>0</v>
      </c>
      <c r="AT33">
        <f>IF(AR33=0,0,AQ33*VLOOKUP(CONCATENATE($C33,"-ac copeaux"),negchutes,$D33-2007,FALSE))</f>
        <v>0</v>
      </c>
      <c r="AU33">
        <f t="shared" si="21"/>
        <v>0</v>
      </c>
      <c r="AV33">
        <f>IFERROR(VLOOKUP(CONCATENATE(C33,"-px lingot"),negchutes,D33-2007,FALSE),0)*AM33</f>
        <v>0</v>
      </c>
      <c r="AW33">
        <f>AN33*VLOOKUP("Marché 1",pxlingot,D33-2010,FALSE)</f>
        <v>0</v>
      </c>
      <c r="AX33">
        <f t="shared" si="34"/>
        <v>0</v>
      </c>
      <c r="AY33" t="str">
        <f t="shared" si="22"/>
        <v>VAR</v>
      </c>
      <c r="AZ33">
        <f t="shared" si="23"/>
        <v>51.730874999999997</v>
      </c>
      <c r="BA33">
        <f>MAX(VLOOKUP(VLOOKUP(C33,descmarche,28,FALSE),pxlingot,D33-2010,FALSE),AX33)</f>
        <v>0</v>
      </c>
      <c r="BB33">
        <f t="shared" si="35"/>
        <v>0</v>
      </c>
      <c r="BC33" t="str">
        <f t="shared" si="24"/>
        <v>SO</v>
      </c>
    </row>
    <row r="34" spans="1:55" x14ac:dyDescent="0.25">
      <c r="A34" t="s">
        <v>16</v>
      </c>
      <c r="B34" s="4" t="s">
        <v>44</v>
      </c>
      <c r="C34" t="str">
        <f t="shared" si="38"/>
        <v>UKTMP-03</v>
      </c>
      <c r="D34">
        <v>2017</v>
      </c>
      <c r="E34">
        <v>1000</v>
      </c>
      <c r="F34" t="str">
        <f t="shared" si="1"/>
        <v>Boeing</v>
      </c>
      <c r="G34" t="str">
        <f t="shared" si="2"/>
        <v>Structure Boeing source UKTMP</v>
      </c>
      <c r="H34">
        <f t="shared" si="3"/>
        <v>0</v>
      </c>
      <c r="I34">
        <f t="shared" si="4"/>
        <v>5</v>
      </c>
      <c r="J34">
        <f t="shared" si="5"/>
        <v>1210</v>
      </c>
      <c r="K34">
        <f t="shared" si="6"/>
        <v>1000</v>
      </c>
      <c r="L34">
        <f t="shared" si="7"/>
        <v>1210</v>
      </c>
      <c r="M34">
        <f t="shared" si="8"/>
        <v>52.499999999999993</v>
      </c>
      <c r="N34">
        <f t="shared" si="9"/>
        <v>57.749999999999993</v>
      </c>
      <c r="O34" t="str">
        <f t="shared" si="10"/>
        <v>Marché 1</v>
      </c>
      <c r="P34">
        <f>VLOOKUP(O34,pxmassif,D34-2010,FALSE)*M34</f>
        <v>656.24999999999989</v>
      </c>
      <c r="Q34">
        <f>VLOOKUP(O34,pxcopeau,D34-2010,FALSE)*N34</f>
        <v>433.12499999999994</v>
      </c>
      <c r="R34" t="str">
        <f t="shared" si="11"/>
        <v>SO</v>
      </c>
      <c r="S34">
        <f t="shared" si="12"/>
        <v>0</v>
      </c>
      <c r="T34">
        <f t="shared" si="13"/>
        <v>0</v>
      </c>
      <c r="U34" t="str">
        <f t="shared" si="14"/>
        <v>Marché 1</v>
      </c>
      <c r="V34">
        <f>VLOOKUP(U34,pxmassif,$D34-2010,FALSE)*S34</f>
        <v>0</v>
      </c>
      <c r="W34">
        <f>VLOOKUP(U34,pxcopeau,$D34-2010,FALSE)*T34</f>
        <v>0</v>
      </c>
      <c r="X34" t="str">
        <f t="shared" si="15"/>
        <v>SO</v>
      </c>
      <c r="Y34">
        <f t="shared" si="16"/>
        <v>0</v>
      </c>
      <c r="Z34">
        <f t="shared" si="17"/>
        <v>0</v>
      </c>
      <c r="AA34" t="str">
        <f t="shared" si="18"/>
        <v>Marché 1</v>
      </c>
      <c r="AB34">
        <f>VLOOKUP(AA34,pxmassif,$D34-2010,FALSE)*Y34</f>
        <v>0</v>
      </c>
      <c r="AC34">
        <f>VLOOKUP(AA34,pxcopeau,$D34-2010,FALSE)*Z34</f>
        <v>0</v>
      </c>
      <c r="AD34">
        <f t="shared" si="25"/>
        <v>52.499999999999993</v>
      </c>
      <c r="AE34">
        <f t="shared" si="26"/>
        <v>57.749999999999993</v>
      </c>
      <c r="AF34">
        <f t="shared" si="27"/>
        <v>110.24999999999999</v>
      </c>
      <c r="AG34">
        <f t="shared" si="28"/>
        <v>0</v>
      </c>
      <c r="AH34">
        <f t="shared" si="29"/>
        <v>0</v>
      </c>
      <c r="AI34">
        <f t="shared" si="30"/>
        <v>52.499999999999993</v>
      </c>
      <c r="AJ34">
        <f t="shared" si="31"/>
        <v>57.749999999999993</v>
      </c>
      <c r="AK34">
        <f t="shared" si="19"/>
        <v>103.46174999999999</v>
      </c>
      <c r="AL34">
        <f t="shared" si="20"/>
        <v>0</v>
      </c>
      <c r="AM34">
        <f>IFERROR(MIN(AL34,VLOOKUP(CONCATENATE(C34,"-to lingot"),negchutes,D34-2007,FALSE)),0)</f>
        <v>0</v>
      </c>
      <c r="AN34">
        <f t="shared" si="32"/>
        <v>0</v>
      </c>
      <c r="AO34" t="str">
        <f t="shared" si="33"/>
        <v>SO</v>
      </c>
      <c r="AP34">
        <f>IF(AR34=0,0,IFERROR(VLOOKUP(CONCATENATE($C34,"-to massif"),negchutes,$D34-2007,FALSE),0)*AM34/AR34)</f>
        <v>0</v>
      </c>
      <c r="AQ34">
        <f>IF(AR34=0,0,IFERROR(VLOOKUP(CONCATENATE($C34,"-to copeaux"),negchutes,$D34-2007,FALSE),0)*AM34/AR34)</f>
        <v>0</v>
      </c>
      <c r="AR34">
        <f>IFERROR(VLOOKUP(CONCATENATE($C34,"-to lingot"),negchutes,$D34-2007,FALSE),0)</f>
        <v>0</v>
      </c>
      <c r="AS34">
        <f>IF(AR34=0,0,AP34*VLOOKUP(CONCATENATE($C34,"-ac massif"),negchutes,$D34-2007,FALSE))</f>
        <v>0</v>
      </c>
      <c r="AT34">
        <f>IF(AR34=0,0,AQ34*VLOOKUP(CONCATENATE($C34,"-ac copeaux"),negchutes,$D34-2007,FALSE))</f>
        <v>0</v>
      </c>
      <c r="AU34">
        <f t="shared" si="21"/>
        <v>0</v>
      </c>
      <c r="AV34">
        <f>IFERROR(VLOOKUP(CONCATENATE(C34,"-px lingot"),negchutes,D34-2007,FALSE),0)*AM34</f>
        <v>0</v>
      </c>
      <c r="AW34">
        <f>AN34*VLOOKUP("Marché 1",pxlingot,D34-2010,FALSE)</f>
        <v>0</v>
      </c>
      <c r="AX34">
        <f t="shared" si="34"/>
        <v>0</v>
      </c>
      <c r="AY34" t="str">
        <f t="shared" si="22"/>
        <v>VAR</v>
      </c>
      <c r="AZ34">
        <f t="shared" si="23"/>
        <v>103.46174999999999</v>
      </c>
      <c r="BA34">
        <f>MAX(VLOOKUP(VLOOKUP(C34,descmarche,28,FALSE),pxlingot,D34-2010,FALSE),AX34)</f>
        <v>0</v>
      </c>
      <c r="BB34">
        <f t="shared" si="35"/>
        <v>0</v>
      </c>
      <c r="BC34" t="str">
        <f t="shared" si="24"/>
        <v>SO</v>
      </c>
    </row>
    <row r="35" spans="1:55" x14ac:dyDescent="0.25">
      <c r="A35" t="s">
        <v>16</v>
      </c>
      <c r="B35" s="4" t="s">
        <v>44</v>
      </c>
      <c r="C35" t="str">
        <f t="shared" si="38"/>
        <v>UKTMP-03</v>
      </c>
      <c r="D35">
        <v>2018</v>
      </c>
      <c r="E35">
        <v>1000</v>
      </c>
      <c r="F35" t="str">
        <f t="shared" si="1"/>
        <v>Boeing</v>
      </c>
      <c r="G35" t="str">
        <f t="shared" ref="G35:G66" si="39">VLOOKUP($C35,descmarche,5,FALSE)</f>
        <v>Structure Boeing source UKTMP</v>
      </c>
      <c r="H35">
        <f t="shared" ref="H35:H98" si="40">VLOOKUP($C35,descmarche,6,FALSE)</f>
        <v>0</v>
      </c>
      <c r="I35">
        <f t="shared" ref="I35:I66" si="41">VLOOKUP($C35,descmarche,7,FALSE)</f>
        <v>5</v>
      </c>
      <c r="J35">
        <f t="shared" ref="J35:J66" si="42">VLOOKUP($C35,descmarche,9,FALSE)*1000</f>
        <v>1210</v>
      </c>
      <c r="K35">
        <f t="shared" ref="K35:K66" si="43">VLOOKUP($C35,descmarche,10,FALSE)*$E35</f>
        <v>1000</v>
      </c>
      <c r="L35">
        <f t="shared" ref="L35:L66" si="44">VLOOKUP($C35,descmarche,11,FALSE)*$E35</f>
        <v>1210</v>
      </c>
      <c r="M35">
        <f t="shared" ref="M35:M66" si="45">VLOOKUP($C35,descmarche,12,FALSE)*$E35*VLOOKUP("UKAD",recupchute,2,FALSE)</f>
        <v>52.499999999999993</v>
      </c>
      <c r="N35">
        <f t="shared" ref="N35:N66" si="46">VLOOKUP($C35,descmarche,13,FALSE)*$E35*VLOOKUP("UKAD",recupchute,3,FALSE)</f>
        <v>57.749999999999993</v>
      </c>
      <c r="O35" t="str">
        <f t="shared" ref="O35:O66" si="47">VLOOKUP($C35,descmarche,14,FALSE)</f>
        <v>Marché 1</v>
      </c>
      <c r="P35">
        <f>VLOOKUP(O35,pxmassif,D35-2010,FALSE)*M35</f>
        <v>656.24999999999989</v>
      </c>
      <c r="Q35">
        <f>VLOOKUP(O35,pxcopeau,D35-2010,FALSE)*N35</f>
        <v>433.12499999999994</v>
      </c>
      <c r="R35" t="str">
        <f t="shared" ref="R35:R66" si="48">VLOOKUP(C35,descmarche,22,FALSE)</f>
        <v>SO</v>
      </c>
      <c r="S35">
        <f t="shared" ref="S35:S66" si="49">VLOOKUP($C35,descmarche,15,FALSE)*$E35*VLOOKUP(R35,recupchute,2,FALSE)</f>
        <v>0</v>
      </c>
      <c r="T35">
        <f t="shared" ref="T35:T66" si="50">VLOOKUP($C35,descmarche,16,FALSE)*$E35*VLOOKUP(R35,recupchute,3,FALSE)</f>
        <v>0</v>
      </c>
      <c r="U35" t="str">
        <f t="shared" ref="U35:U66" si="51">VLOOKUP($C35,descmarche,17,FALSE)</f>
        <v>Marché 1</v>
      </c>
      <c r="V35">
        <f>VLOOKUP(U35,pxmassif,$D35-2010,FALSE)*S35</f>
        <v>0</v>
      </c>
      <c r="W35">
        <f>VLOOKUP(U35,pxcopeau,$D35-2010,FALSE)*T35</f>
        <v>0</v>
      </c>
      <c r="X35" t="str">
        <f t="shared" ref="X35:X66" si="52">VLOOKUP(C35,descmarche,23,FALSE)</f>
        <v>SO</v>
      </c>
      <c r="Y35">
        <f t="shared" ref="Y35:Y66" si="53">VLOOKUP($C35,descmarche,18,FALSE)*$E35*VLOOKUP(X35,recupchute,2,FALSE)</f>
        <v>0</v>
      </c>
      <c r="Z35">
        <f t="shared" ref="Z35:Z66" si="54">VLOOKUP($C35,descmarche,19,FALSE)*$E35*VLOOKUP(X35,recupchute,3,FALSE)</f>
        <v>0</v>
      </c>
      <c r="AA35" t="str">
        <f t="shared" ref="AA35:AA66" si="55">VLOOKUP($C35,descmarche,20,FALSE)</f>
        <v>Marché 1</v>
      </c>
      <c r="AB35">
        <f>VLOOKUP(AA35,pxmassif,$D35-2010,FALSE)*Y35</f>
        <v>0</v>
      </c>
      <c r="AC35">
        <f>VLOOKUP(AA35,pxcopeau,$D35-2010,FALSE)*Z35</f>
        <v>0</v>
      </c>
      <c r="AD35">
        <f t="shared" si="25"/>
        <v>52.499999999999993</v>
      </c>
      <c r="AE35">
        <f t="shared" si="26"/>
        <v>57.749999999999993</v>
      </c>
      <c r="AF35">
        <f t="shared" si="27"/>
        <v>110.24999999999999</v>
      </c>
      <c r="AG35">
        <f t="shared" si="28"/>
        <v>0</v>
      </c>
      <c r="AH35">
        <f t="shared" si="29"/>
        <v>0</v>
      </c>
      <c r="AI35">
        <f t="shared" si="30"/>
        <v>52.499999999999993</v>
      </c>
      <c r="AJ35">
        <f t="shared" si="31"/>
        <v>57.749999999999993</v>
      </c>
      <c r="AK35">
        <f t="shared" ref="AK35:AK66" si="56">VLOOKUP(C35,descmarche,26,FALSE)*E35</f>
        <v>103.46174999999999</v>
      </c>
      <c r="AL35">
        <f t="shared" ref="AL35:AL66" si="57">IF(A35="EcoTI",VLOOKUP(C35,descmarche,27,FALSE)*E35,0)</f>
        <v>0</v>
      </c>
      <c r="AM35">
        <f>IFERROR(MIN(AL35,VLOOKUP(CONCATENATE(C35,"-to lingot"),negchutes,D35-2007,FALSE)),0)</f>
        <v>0</v>
      </c>
      <c r="AN35">
        <f t="shared" si="32"/>
        <v>0</v>
      </c>
      <c r="AO35" t="str">
        <f t="shared" si="33"/>
        <v>SO</v>
      </c>
      <c r="AP35">
        <f>IF(AR35=0,0,IFERROR(VLOOKUP(CONCATENATE($C35,"-to massif"),negchutes,$D35-2007,FALSE),0)*AM35/AR35)</f>
        <v>0</v>
      </c>
      <c r="AQ35">
        <f>IF(AR35=0,0,IFERROR(VLOOKUP(CONCATENATE($C35,"-to copeaux"),negchutes,$D35-2007,FALSE),0)*AM35/AR35)</f>
        <v>0</v>
      </c>
      <c r="AR35">
        <f>IFERROR(VLOOKUP(CONCATENATE($C35,"-to lingot"),negchutes,$D35-2007,FALSE),0)</f>
        <v>0</v>
      </c>
      <c r="AS35">
        <f>IF(AR35=0,0,AP35*VLOOKUP(CONCATENATE($C35,"-ac massif"),negchutes,$D35-2007,FALSE))</f>
        <v>0</v>
      </c>
      <c r="AT35">
        <f>IF(AR35=0,0,AQ35*VLOOKUP(CONCATENATE($C35,"-ac copeaux"),negchutes,$D35-2007,FALSE))</f>
        <v>0</v>
      </c>
      <c r="AU35">
        <f t="shared" ref="AU35:AU66" si="58">AK35*VLOOKUP(AO35,pxlingot,D35-2010,FALSE)</f>
        <v>0</v>
      </c>
      <c r="AV35">
        <f>IFERROR(VLOOKUP(CONCATENATE(C35,"-px lingot"),negchutes,D35-2007,FALSE),0)*AM35</f>
        <v>0</v>
      </c>
      <c r="AW35">
        <f>AN35*VLOOKUP("Marché 1",pxlingot,D35-2010,FALSE)</f>
        <v>0</v>
      </c>
      <c r="AX35">
        <f t="shared" si="34"/>
        <v>0</v>
      </c>
      <c r="AY35" t="str">
        <f t="shared" ref="AY35:AY66" si="59">VLOOKUP(C35,descmarche,21,FALSE)</f>
        <v>VAR</v>
      </c>
      <c r="AZ35">
        <f t="shared" ref="AZ35:AZ66" si="60">M35*VLOOKUP(AY35,convchutes,2,FALSE)+N35*VLOOKUP(AY35,convchutes,3,FALSE)</f>
        <v>103.46174999999999</v>
      </c>
      <c r="BA35">
        <f>MAX(VLOOKUP(VLOOKUP(C35,descmarche,28,FALSE),pxlingot,D35-2010,FALSE),AX35)</f>
        <v>0</v>
      </c>
      <c r="BB35">
        <f t="shared" si="35"/>
        <v>0</v>
      </c>
      <c r="BC35" t="str">
        <f t="shared" ref="BC35:BC66" si="61">VLOOKUP(C35,descmarche,28,FALSE)</f>
        <v>SO</v>
      </c>
    </row>
    <row r="36" spans="1:55" x14ac:dyDescent="0.25">
      <c r="A36" t="s">
        <v>16</v>
      </c>
      <c r="B36" s="4" t="s">
        <v>44</v>
      </c>
      <c r="C36" t="str">
        <f t="shared" si="38"/>
        <v>UKTMP-03</v>
      </c>
      <c r="D36">
        <v>2019</v>
      </c>
      <c r="E36">
        <v>2000</v>
      </c>
      <c r="F36" t="str">
        <f t="shared" si="1"/>
        <v>Boeing</v>
      </c>
      <c r="G36" t="str">
        <f t="shared" si="39"/>
        <v>Structure Boeing source UKTMP</v>
      </c>
      <c r="H36">
        <f t="shared" si="40"/>
        <v>0</v>
      </c>
      <c r="I36">
        <f t="shared" si="41"/>
        <v>5</v>
      </c>
      <c r="J36">
        <f t="shared" si="42"/>
        <v>1210</v>
      </c>
      <c r="K36">
        <f t="shared" si="43"/>
        <v>2000</v>
      </c>
      <c r="L36">
        <f t="shared" si="44"/>
        <v>2420</v>
      </c>
      <c r="M36">
        <f t="shared" si="45"/>
        <v>104.99999999999999</v>
      </c>
      <c r="N36">
        <f t="shared" si="46"/>
        <v>115.49999999999999</v>
      </c>
      <c r="O36" t="str">
        <f t="shared" si="47"/>
        <v>Marché 1</v>
      </c>
      <c r="P36">
        <f>VLOOKUP(O36,pxmassif,D36-2010,FALSE)*M36</f>
        <v>1312.4999999999998</v>
      </c>
      <c r="Q36">
        <f>VLOOKUP(O36,pxcopeau,D36-2010,FALSE)*N36</f>
        <v>866.24999999999989</v>
      </c>
      <c r="R36" t="str">
        <f t="shared" si="48"/>
        <v>SO</v>
      </c>
      <c r="S36">
        <f t="shared" si="49"/>
        <v>0</v>
      </c>
      <c r="T36">
        <f t="shared" si="50"/>
        <v>0</v>
      </c>
      <c r="U36" t="str">
        <f t="shared" si="51"/>
        <v>Marché 1</v>
      </c>
      <c r="V36">
        <f>VLOOKUP(U36,pxmassif,$D36-2010,FALSE)*S36</f>
        <v>0</v>
      </c>
      <c r="W36">
        <f>VLOOKUP(U36,pxcopeau,$D36-2010,FALSE)*T36</f>
        <v>0</v>
      </c>
      <c r="X36" t="str">
        <f t="shared" si="52"/>
        <v>SO</v>
      </c>
      <c r="Y36">
        <f t="shared" si="53"/>
        <v>0</v>
      </c>
      <c r="Z36">
        <f t="shared" si="54"/>
        <v>0</v>
      </c>
      <c r="AA36" t="str">
        <f t="shared" si="55"/>
        <v>Marché 1</v>
      </c>
      <c r="AB36">
        <f>VLOOKUP(AA36,pxmassif,$D36-2010,FALSE)*Y36</f>
        <v>0</v>
      </c>
      <c r="AC36">
        <f>VLOOKUP(AA36,pxcopeau,$D36-2010,FALSE)*Z36</f>
        <v>0</v>
      </c>
      <c r="AD36">
        <f t="shared" si="25"/>
        <v>104.99999999999999</v>
      </c>
      <c r="AE36">
        <f t="shared" si="26"/>
        <v>115.49999999999999</v>
      </c>
      <c r="AF36">
        <f t="shared" si="27"/>
        <v>220.49999999999997</v>
      </c>
      <c r="AG36">
        <f t="shared" si="28"/>
        <v>0</v>
      </c>
      <c r="AH36">
        <f t="shared" si="29"/>
        <v>0</v>
      </c>
      <c r="AI36">
        <f t="shared" si="30"/>
        <v>104.99999999999999</v>
      </c>
      <c r="AJ36">
        <f t="shared" si="31"/>
        <v>115.49999999999999</v>
      </c>
      <c r="AK36">
        <f t="shared" si="56"/>
        <v>206.92349999999999</v>
      </c>
      <c r="AL36">
        <f t="shared" si="57"/>
        <v>0</v>
      </c>
      <c r="AM36">
        <f>IFERROR(MIN(AL36,VLOOKUP(CONCATENATE(C36,"-to lingot"),negchutes,D36-2007,FALSE)),0)</f>
        <v>0</v>
      </c>
      <c r="AN36">
        <f t="shared" si="32"/>
        <v>0</v>
      </c>
      <c r="AO36" t="str">
        <f t="shared" ref="AO36:AO67" si="62">VLOOKUP(C36,descmarche,28,FALSE)</f>
        <v>SO</v>
      </c>
      <c r="AP36">
        <f>IF(AR36=0,0,IFERROR(VLOOKUP(CONCATENATE($C36,"-to massif"),negchutes,$D36-2007,FALSE),0)*AM36/AR36)</f>
        <v>0</v>
      </c>
      <c r="AQ36">
        <f>IF(AR36=0,0,IFERROR(VLOOKUP(CONCATENATE($C36,"-to copeaux"),negchutes,$D36-2007,FALSE),0)*AM36/AR36)</f>
        <v>0</v>
      </c>
      <c r="AR36">
        <f>IFERROR(VLOOKUP(CONCATENATE($C36,"-to lingot"),negchutes,$D36-2007,FALSE),0)</f>
        <v>0</v>
      </c>
      <c r="AS36">
        <f>IF(AR36=0,0,AP36*VLOOKUP(CONCATENATE($C36,"-ac massif"),negchutes,$D36-2007,FALSE))</f>
        <v>0</v>
      </c>
      <c r="AT36">
        <f>IF(AR36=0,0,AQ36*VLOOKUP(CONCATENATE($C36,"-ac copeaux"),negchutes,$D36-2007,FALSE))</f>
        <v>0</v>
      </c>
      <c r="AU36">
        <f t="shared" si="58"/>
        <v>0</v>
      </c>
      <c r="AV36">
        <f>IFERROR(VLOOKUP(CONCATENATE(C36,"-px lingot"),negchutes,D36-2007,FALSE),0)*AM36</f>
        <v>0</v>
      </c>
      <c r="AW36">
        <f>AN36*VLOOKUP("Marché 1",pxlingot,D36-2010,FALSE)</f>
        <v>0</v>
      </c>
      <c r="AX36">
        <f t="shared" si="34"/>
        <v>0</v>
      </c>
      <c r="AY36" t="str">
        <f t="shared" si="59"/>
        <v>VAR</v>
      </c>
      <c r="AZ36">
        <f t="shared" si="60"/>
        <v>206.92349999999999</v>
      </c>
      <c r="BA36">
        <f>MAX(VLOOKUP(VLOOKUP(C36,descmarche,28,FALSE),pxlingot,D36-2010,FALSE),AX36)</f>
        <v>0</v>
      </c>
      <c r="BB36">
        <f t="shared" si="35"/>
        <v>0</v>
      </c>
      <c r="BC36" t="str">
        <f t="shared" si="61"/>
        <v>SO</v>
      </c>
    </row>
    <row r="37" spans="1:55" x14ac:dyDescent="0.25">
      <c r="A37" t="s">
        <v>16</v>
      </c>
      <c r="B37" s="4" t="s">
        <v>44</v>
      </c>
      <c r="C37" t="str">
        <f t="shared" si="38"/>
        <v>UKTMP-03</v>
      </c>
      <c r="D37">
        <v>2020</v>
      </c>
      <c r="E37">
        <v>2000</v>
      </c>
      <c r="F37" t="str">
        <f t="shared" si="1"/>
        <v>Boeing</v>
      </c>
      <c r="G37" t="str">
        <f t="shared" si="39"/>
        <v>Structure Boeing source UKTMP</v>
      </c>
      <c r="H37">
        <f t="shared" si="40"/>
        <v>0</v>
      </c>
      <c r="I37">
        <f t="shared" si="41"/>
        <v>5</v>
      </c>
      <c r="J37">
        <f t="shared" si="42"/>
        <v>1210</v>
      </c>
      <c r="K37">
        <f t="shared" si="43"/>
        <v>2000</v>
      </c>
      <c r="L37">
        <f t="shared" si="44"/>
        <v>2420</v>
      </c>
      <c r="M37">
        <f t="shared" si="45"/>
        <v>104.99999999999999</v>
      </c>
      <c r="N37">
        <f t="shared" si="46"/>
        <v>115.49999999999999</v>
      </c>
      <c r="O37" t="str">
        <f t="shared" si="47"/>
        <v>Marché 1</v>
      </c>
      <c r="P37">
        <f>VLOOKUP(O37,pxmassif,D37-2010,FALSE)*M37</f>
        <v>1312.4999999999998</v>
      </c>
      <c r="Q37">
        <f>VLOOKUP(O37,pxcopeau,D37-2010,FALSE)*N37</f>
        <v>866.24999999999989</v>
      </c>
      <c r="R37" t="str">
        <f t="shared" si="48"/>
        <v>SO</v>
      </c>
      <c r="S37">
        <f t="shared" si="49"/>
        <v>0</v>
      </c>
      <c r="T37">
        <f t="shared" si="50"/>
        <v>0</v>
      </c>
      <c r="U37" t="str">
        <f t="shared" si="51"/>
        <v>Marché 1</v>
      </c>
      <c r="V37">
        <f>VLOOKUP(U37,pxmassif,$D37-2010,FALSE)*S37</f>
        <v>0</v>
      </c>
      <c r="W37">
        <f>VLOOKUP(U37,pxcopeau,$D37-2010,FALSE)*T37</f>
        <v>0</v>
      </c>
      <c r="X37" t="str">
        <f t="shared" si="52"/>
        <v>SO</v>
      </c>
      <c r="Y37">
        <f t="shared" si="53"/>
        <v>0</v>
      </c>
      <c r="Z37">
        <f t="shared" si="54"/>
        <v>0</v>
      </c>
      <c r="AA37" t="str">
        <f t="shared" si="55"/>
        <v>Marché 1</v>
      </c>
      <c r="AB37">
        <f>VLOOKUP(AA37,pxmassif,$D37-2010,FALSE)*Y37</f>
        <v>0</v>
      </c>
      <c r="AC37">
        <f>VLOOKUP(AA37,pxcopeau,$D37-2010,FALSE)*Z37</f>
        <v>0</v>
      </c>
      <c r="AD37">
        <f t="shared" si="25"/>
        <v>104.99999999999999</v>
      </c>
      <c r="AE37">
        <f t="shared" si="26"/>
        <v>115.49999999999999</v>
      </c>
      <c r="AF37">
        <f t="shared" si="27"/>
        <v>220.49999999999997</v>
      </c>
      <c r="AG37">
        <f t="shared" si="28"/>
        <v>0</v>
      </c>
      <c r="AH37">
        <f t="shared" si="29"/>
        <v>0</v>
      </c>
      <c r="AI37">
        <f t="shared" si="30"/>
        <v>104.99999999999999</v>
      </c>
      <c r="AJ37">
        <f t="shared" si="31"/>
        <v>115.49999999999999</v>
      </c>
      <c r="AK37">
        <f t="shared" si="56"/>
        <v>206.92349999999999</v>
      </c>
      <c r="AL37">
        <f t="shared" si="57"/>
        <v>0</v>
      </c>
      <c r="AM37">
        <f>IFERROR(MIN(AL37,VLOOKUP(CONCATENATE(C37,"-to lingot"),negchutes,D37-2007,FALSE)),0)</f>
        <v>0</v>
      </c>
      <c r="AN37">
        <f t="shared" si="32"/>
        <v>0</v>
      </c>
      <c r="AO37" t="str">
        <f t="shared" si="62"/>
        <v>SO</v>
      </c>
      <c r="AP37">
        <f>IF(AR37=0,0,IFERROR(VLOOKUP(CONCATENATE($C37,"-to massif"),negchutes,$D37-2007,FALSE),0)*AM37/AR37)</f>
        <v>0</v>
      </c>
      <c r="AQ37">
        <f>IF(AR37=0,0,IFERROR(VLOOKUP(CONCATENATE($C37,"-to copeaux"),negchutes,$D37-2007,FALSE),0)*AM37/AR37)</f>
        <v>0</v>
      </c>
      <c r="AR37">
        <f>IFERROR(VLOOKUP(CONCATENATE($C37,"-to lingot"),negchutes,$D37-2007,FALSE),0)</f>
        <v>0</v>
      </c>
      <c r="AS37">
        <f>IF(AR37=0,0,AP37*VLOOKUP(CONCATENATE($C37,"-ac massif"),negchutes,$D37-2007,FALSE))</f>
        <v>0</v>
      </c>
      <c r="AT37">
        <f>IF(AR37=0,0,AQ37*VLOOKUP(CONCATENATE($C37,"-ac copeaux"),negchutes,$D37-2007,FALSE))</f>
        <v>0</v>
      </c>
      <c r="AU37">
        <f t="shared" si="58"/>
        <v>0</v>
      </c>
      <c r="AV37">
        <f>IFERROR(VLOOKUP(CONCATENATE(C37,"-px lingot"),negchutes,D37-2007,FALSE),0)*AM37</f>
        <v>0</v>
      </c>
      <c r="AW37">
        <f>AN37*VLOOKUP("Marché 1",pxlingot,D37-2010,FALSE)</f>
        <v>0</v>
      </c>
      <c r="AX37">
        <f t="shared" si="34"/>
        <v>0</v>
      </c>
      <c r="AY37" t="str">
        <f t="shared" si="59"/>
        <v>VAR</v>
      </c>
      <c r="AZ37">
        <f t="shared" si="60"/>
        <v>206.92349999999999</v>
      </c>
      <c r="BA37">
        <f>MAX(VLOOKUP(VLOOKUP(C37,descmarche,28,FALSE),pxlingot,D37-2010,FALSE),AX37)</f>
        <v>0</v>
      </c>
      <c r="BB37">
        <f t="shared" si="35"/>
        <v>0</v>
      </c>
      <c r="BC37" t="str">
        <f t="shared" si="61"/>
        <v>SO</v>
      </c>
    </row>
    <row r="38" spans="1:55" x14ac:dyDescent="0.25">
      <c r="A38" t="s">
        <v>16</v>
      </c>
      <c r="B38" s="4" t="s">
        <v>44</v>
      </c>
      <c r="C38" t="str">
        <f t="shared" si="38"/>
        <v>UKTMP-03</v>
      </c>
      <c r="D38">
        <v>2021</v>
      </c>
      <c r="E38">
        <v>2000</v>
      </c>
      <c r="F38" t="str">
        <f t="shared" si="1"/>
        <v>Boeing</v>
      </c>
      <c r="G38" t="str">
        <f t="shared" si="39"/>
        <v>Structure Boeing source UKTMP</v>
      </c>
      <c r="H38">
        <f t="shared" si="40"/>
        <v>0</v>
      </c>
      <c r="I38">
        <f t="shared" si="41"/>
        <v>5</v>
      </c>
      <c r="J38">
        <f t="shared" si="42"/>
        <v>1210</v>
      </c>
      <c r="K38">
        <f t="shared" si="43"/>
        <v>2000</v>
      </c>
      <c r="L38">
        <f t="shared" si="44"/>
        <v>2420</v>
      </c>
      <c r="M38">
        <f t="shared" si="45"/>
        <v>104.99999999999999</v>
      </c>
      <c r="N38">
        <f t="shared" si="46"/>
        <v>115.49999999999999</v>
      </c>
      <c r="O38" t="str">
        <f t="shared" si="47"/>
        <v>Marché 1</v>
      </c>
      <c r="P38">
        <f>VLOOKUP(O38,pxmassif,D38-2010,FALSE)*M38</f>
        <v>1312.4999999999998</v>
      </c>
      <c r="Q38">
        <f>VLOOKUP(O38,pxcopeau,D38-2010,FALSE)*N38</f>
        <v>866.24999999999989</v>
      </c>
      <c r="R38" t="str">
        <f t="shared" si="48"/>
        <v>SO</v>
      </c>
      <c r="S38">
        <f t="shared" si="49"/>
        <v>0</v>
      </c>
      <c r="T38">
        <f t="shared" si="50"/>
        <v>0</v>
      </c>
      <c r="U38" t="str">
        <f t="shared" si="51"/>
        <v>Marché 1</v>
      </c>
      <c r="V38">
        <f>VLOOKUP(U38,pxmassif,$D38-2010,FALSE)*S38</f>
        <v>0</v>
      </c>
      <c r="W38">
        <f>VLOOKUP(U38,pxcopeau,$D38-2010,FALSE)*T38</f>
        <v>0</v>
      </c>
      <c r="X38" t="str">
        <f t="shared" si="52"/>
        <v>SO</v>
      </c>
      <c r="Y38">
        <f t="shared" si="53"/>
        <v>0</v>
      </c>
      <c r="Z38">
        <f t="shared" si="54"/>
        <v>0</v>
      </c>
      <c r="AA38" t="str">
        <f t="shared" si="55"/>
        <v>Marché 1</v>
      </c>
      <c r="AB38">
        <f>VLOOKUP(AA38,pxmassif,$D38-2010,FALSE)*Y38</f>
        <v>0</v>
      </c>
      <c r="AC38">
        <f>VLOOKUP(AA38,pxcopeau,$D38-2010,FALSE)*Z38</f>
        <v>0</v>
      </c>
      <c r="AD38">
        <f t="shared" si="25"/>
        <v>104.99999999999999</v>
      </c>
      <c r="AE38">
        <f t="shared" si="26"/>
        <v>115.49999999999999</v>
      </c>
      <c r="AF38">
        <f t="shared" si="27"/>
        <v>220.49999999999997</v>
      </c>
      <c r="AG38">
        <f t="shared" si="28"/>
        <v>0</v>
      </c>
      <c r="AH38">
        <f t="shared" si="29"/>
        <v>0</v>
      </c>
      <c r="AI38">
        <f t="shared" si="30"/>
        <v>104.99999999999999</v>
      </c>
      <c r="AJ38">
        <f t="shared" si="31"/>
        <v>115.49999999999999</v>
      </c>
      <c r="AK38">
        <f t="shared" si="56"/>
        <v>206.92349999999999</v>
      </c>
      <c r="AL38">
        <f t="shared" si="57"/>
        <v>0</v>
      </c>
      <c r="AM38">
        <f>IFERROR(MIN(AL38,VLOOKUP(CONCATENATE(C38,"-to lingot"),negchutes,D38-2007,FALSE)),0)</f>
        <v>0</v>
      </c>
      <c r="AN38">
        <f t="shared" si="32"/>
        <v>0</v>
      </c>
      <c r="AO38" t="str">
        <f t="shared" si="62"/>
        <v>SO</v>
      </c>
      <c r="AP38">
        <f>IF(AR38=0,0,IFERROR(VLOOKUP(CONCATENATE($C38,"-to massif"),negchutes,$D38-2007,FALSE),0)*AM38/AR38)</f>
        <v>0</v>
      </c>
      <c r="AQ38">
        <f>IF(AR38=0,0,IFERROR(VLOOKUP(CONCATENATE($C38,"-to copeaux"),negchutes,$D38-2007,FALSE),0)*AM38/AR38)</f>
        <v>0</v>
      </c>
      <c r="AR38">
        <f>IFERROR(VLOOKUP(CONCATENATE($C38,"-to lingot"),negchutes,$D38-2007,FALSE),0)</f>
        <v>0</v>
      </c>
      <c r="AS38">
        <f>IF(AR38=0,0,AP38*VLOOKUP(CONCATENATE($C38,"-ac massif"),negchutes,$D38-2007,FALSE))</f>
        <v>0</v>
      </c>
      <c r="AT38">
        <f>IF(AR38=0,0,AQ38*VLOOKUP(CONCATENATE($C38,"-ac copeaux"),negchutes,$D38-2007,FALSE))</f>
        <v>0</v>
      </c>
      <c r="AU38">
        <f t="shared" si="58"/>
        <v>0</v>
      </c>
      <c r="AV38">
        <f>IFERROR(VLOOKUP(CONCATENATE(C38,"-px lingot"),negchutes,D38-2007,FALSE),0)*AM38</f>
        <v>0</v>
      </c>
      <c r="AW38">
        <f>AN38*VLOOKUP("Marché 1",pxlingot,D38-2010,FALSE)</f>
        <v>0</v>
      </c>
      <c r="AX38">
        <f t="shared" si="34"/>
        <v>0</v>
      </c>
      <c r="AY38" t="str">
        <f t="shared" si="59"/>
        <v>VAR</v>
      </c>
      <c r="AZ38">
        <f t="shared" si="60"/>
        <v>206.92349999999999</v>
      </c>
      <c r="BA38">
        <f>MAX(VLOOKUP(VLOOKUP(C38,descmarche,28,FALSE),pxlingot,D38-2010,FALSE),AX38)</f>
        <v>0</v>
      </c>
      <c r="BB38">
        <f t="shared" si="35"/>
        <v>0</v>
      </c>
      <c r="BC38" t="str">
        <f t="shared" si="61"/>
        <v>SO</v>
      </c>
    </row>
    <row r="39" spans="1:55" x14ac:dyDescent="0.25">
      <c r="A39" t="s">
        <v>16</v>
      </c>
      <c r="B39" s="4" t="s">
        <v>44</v>
      </c>
      <c r="C39" t="str">
        <f t="shared" si="38"/>
        <v>UKTMP-03</v>
      </c>
      <c r="D39">
        <v>2022</v>
      </c>
      <c r="E39">
        <v>2000</v>
      </c>
      <c r="F39" t="str">
        <f t="shared" si="1"/>
        <v>Boeing</v>
      </c>
      <c r="G39" t="str">
        <f t="shared" si="39"/>
        <v>Structure Boeing source UKTMP</v>
      </c>
      <c r="H39">
        <f t="shared" si="40"/>
        <v>0</v>
      </c>
      <c r="I39">
        <f t="shared" si="41"/>
        <v>5</v>
      </c>
      <c r="J39">
        <f t="shared" si="42"/>
        <v>1210</v>
      </c>
      <c r="K39">
        <f t="shared" si="43"/>
        <v>2000</v>
      </c>
      <c r="L39">
        <f t="shared" si="44"/>
        <v>2420</v>
      </c>
      <c r="M39">
        <f t="shared" si="45"/>
        <v>104.99999999999999</v>
      </c>
      <c r="N39">
        <f t="shared" si="46"/>
        <v>115.49999999999999</v>
      </c>
      <c r="O39" t="str">
        <f t="shared" si="47"/>
        <v>Marché 1</v>
      </c>
      <c r="P39">
        <f>VLOOKUP(O39,pxmassif,D39-2010,FALSE)*M39</f>
        <v>1312.4999999999998</v>
      </c>
      <c r="Q39">
        <f>VLOOKUP(O39,pxcopeau,D39-2010,FALSE)*N39</f>
        <v>866.24999999999989</v>
      </c>
      <c r="R39" t="str">
        <f t="shared" si="48"/>
        <v>SO</v>
      </c>
      <c r="S39">
        <f t="shared" si="49"/>
        <v>0</v>
      </c>
      <c r="T39">
        <f t="shared" si="50"/>
        <v>0</v>
      </c>
      <c r="U39" t="str">
        <f t="shared" si="51"/>
        <v>Marché 1</v>
      </c>
      <c r="V39">
        <f>VLOOKUP(U39,pxmassif,$D39-2010,FALSE)*S39</f>
        <v>0</v>
      </c>
      <c r="W39">
        <f>VLOOKUP(U39,pxcopeau,$D39-2010,FALSE)*T39</f>
        <v>0</v>
      </c>
      <c r="X39" t="str">
        <f t="shared" si="52"/>
        <v>SO</v>
      </c>
      <c r="Y39">
        <f t="shared" si="53"/>
        <v>0</v>
      </c>
      <c r="Z39">
        <f t="shared" si="54"/>
        <v>0</v>
      </c>
      <c r="AA39" t="str">
        <f t="shared" si="55"/>
        <v>Marché 1</v>
      </c>
      <c r="AB39">
        <f>VLOOKUP(AA39,pxmassif,$D39-2010,FALSE)*Y39</f>
        <v>0</v>
      </c>
      <c r="AC39">
        <f>VLOOKUP(AA39,pxcopeau,$D39-2010,FALSE)*Z39</f>
        <v>0</v>
      </c>
      <c r="AD39">
        <f t="shared" si="25"/>
        <v>104.99999999999999</v>
      </c>
      <c r="AE39">
        <f t="shared" si="26"/>
        <v>115.49999999999999</v>
      </c>
      <c r="AF39">
        <f t="shared" si="27"/>
        <v>220.49999999999997</v>
      </c>
      <c r="AG39">
        <f t="shared" si="28"/>
        <v>0</v>
      </c>
      <c r="AH39">
        <f t="shared" si="29"/>
        <v>0</v>
      </c>
      <c r="AI39">
        <f t="shared" si="30"/>
        <v>104.99999999999999</v>
      </c>
      <c r="AJ39">
        <f t="shared" si="31"/>
        <v>115.49999999999999</v>
      </c>
      <c r="AK39">
        <f t="shared" si="56"/>
        <v>206.92349999999999</v>
      </c>
      <c r="AL39">
        <f t="shared" si="57"/>
        <v>0</v>
      </c>
      <c r="AM39">
        <f>IFERROR(MIN(AL39,VLOOKUP(CONCATENATE(C39,"-to lingot"),negchutes,D39-2007,FALSE)),0)</f>
        <v>0</v>
      </c>
      <c r="AN39">
        <f t="shared" si="32"/>
        <v>0</v>
      </c>
      <c r="AO39" t="str">
        <f t="shared" si="62"/>
        <v>SO</v>
      </c>
      <c r="AP39">
        <f>IF(AR39=0,0,IFERROR(VLOOKUP(CONCATENATE($C39,"-to massif"),negchutes,$D39-2007,FALSE),0)*AM39/AR39)</f>
        <v>0</v>
      </c>
      <c r="AQ39">
        <f>IF(AR39=0,0,IFERROR(VLOOKUP(CONCATENATE($C39,"-to copeaux"),negchutes,$D39-2007,FALSE),0)*AM39/AR39)</f>
        <v>0</v>
      </c>
      <c r="AR39">
        <f>IFERROR(VLOOKUP(CONCATENATE($C39,"-to lingot"),negchutes,$D39-2007,FALSE),0)</f>
        <v>0</v>
      </c>
      <c r="AS39">
        <f>IF(AR39=0,0,AP39*VLOOKUP(CONCATENATE($C39,"-ac massif"),negchutes,$D39-2007,FALSE))</f>
        <v>0</v>
      </c>
      <c r="AT39">
        <f>IF(AR39=0,0,AQ39*VLOOKUP(CONCATENATE($C39,"-ac copeaux"),negchutes,$D39-2007,FALSE))</f>
        <v>0</v>
      </c>
      <c r="AU39">
        <f t="shared" si="58"/>
        <v>0</v>
      </c>
      <c r="AV39">
        <f>IFERROR(VLOOKUP(CONCATENATE(C39,"-px lingot"),negchutes,D39-2007,FALSE),0)*AM39</f>
        <v>0</v>
      </c>
      <c r="AW39">
        <f>AN39*VLOOKUP("Marché 1",pxlingot,D39-2010,FALSE)</f>
        <v>0</v>
      </c>
      <c r="AX39">
        <f t="shared" si="34"/>
        <v>0</v>
      </c>
      <c r="AY39" t="str">
        <f t="shared" si="59"/>
        <v>VAR</v>
      </c>
      <c r="AZ39">
        <f t="shared" si="60"/>
        <v>206.92349999999999</v>
      </c>
      <c r="BA39">
        <f>MAX(VLOOKUP(VLOOKUP(C39,descmarche,28,FALSE),pxlingot,D39-2010,FALSE),AX39)</f>
        <v>0</v>
      </c>
      <c r="BB39">
        <f t="shared" si="35"/>
        <v>0</v>
      </c>
      <c r="BC39" t="str">
        <f t="shared" si="61"/>
        <v>SO</v>
      </c>
    </row>
    <row r="40" spans="1:55" x14ac:dyDescent="0.25">
      <c r="A40" t="s">
        <v>16</v>
      </c>
      <c r="B40" s="4" t="s">
        <v>44</v>
      </c>
      <c r="C40" t="str">
        <f t="shared" si="38"/>
        <v>UKTMP-03</v>
      </c>
      <c r="D40">
        <v>2023</v>
      </c>
      <c r="E40">
        <v>2000</v>
      </c>
      <c r="F40" t="str">
        <f t="shared" si="1"/>
        <v>Boeing</v>
      </c>
      <c r="G40" t="str">
        <f t="shared" si="39"/>
        <v>Structure Boeing source UKTMP</v>
      </c>
      <c r="H40">
        <f t="shared" si="40"/>
        <v>0</v>
      </c>
      <c r="I40">
        <f t="shared" si="41"/>
        <v>5</v>
      </c>
      <c r="J40">
        <f t="shared" si="42"/>
        <v>1210</v>
      </c>
      <c r="K40">
        <f t="shared" si="43"/>
        <v>2000</v>
      </c>
      <c r="L40">
        <f t="shared" si="44"/>
        <v>2420</v>
      </c>
      <c r="M40">
        <f t="shared" si="45"/>
        <v>104.99999999999999</v>
      </c>
      <c r="N40">
        <f t="shared" si="46"/>
        <v>115.49999999999999</v>
      </c>
      <c r="O40" t="str">
        <f t="shared" si="47"/>
        <v>Marché 1</v>
      </c>
      <c r="P40">
        <f>VLOOKUP(O40,pxmassif,D40-2010,FALSE)*M40</f>
        <v>1312.4999999999998</v>
      </c>
      <c r="Q40">
        <f>VLOOKUP(O40,pxcopeau,D40-2010,FALSE)*N40</f>
        <v>866.24999999999989</v>
      </c>
      <c r="R40" t="str">
        <f t="shared" si="48"/>
        <v>SO</v>
      </c>
      <c r="S40">
        <f t="shared" si="49"/>
        <v>0</v>
      </c>
      <c r="T40">
        <f t="shared" si="50"/>
        <v>0</v>
      </c>
      <c r="U40" t="str">
        <f t="shared" si="51"/>
        <v>Marché 1</v>
      </c>
      <c r="V40">
        <f>VLOOKUP(U40,pxmassif,$D40-2010,FALSE)*S40</f>
        <v>0</v>
      </c>
      <c r="W40">
        <f>VLOOKUP(U40,pxcopeau,$D40-2010,FALSE)*T40</f>
        <v>0</v>
      </c>
      <c r="X40" t="str">
        <f t="shared" si="52"/>
        <v>SO</v>
      </c>
      <c r="Y40">
        <f t="shared" si="53"/>
        <v>0</v>
      </c>
      <c r="Z40">
        <f t="shared" si="54"/>
        <v>0</v>
      </c>
      <c r="AA40" t="str">
        <f t="shared" si="55"/>
        <v>Marché 1</v>
      </c>
      <c r="AB40">
        <f>VLOOKUP(AA40,pxmassif,$D40-2010,FALSE)*Y40</f>
        <v>0</v>
      </c>
      <c r="AC40">
        <f>VLOOKUP(AA40,pxcopeau,$D40-2010,FALSE)*Z40</f>
        <v>0</v>
      </c>
      <c r="AD40">
        <f t="shared" si="25"/>
        <v>104.99999999999999</v>
      </c>
      <c r="AE40">
        <f t="shared" si="26"/>
        <v>115.49999999999999</v>
      </c>
      <c r="AF40">
        <f t="shared" si="27"/>
        <v>220.49999999999997</v>
      </c>
      <c r="AG40">
        <f t="shared" si="28"/>
        <v>0</v>
      </c>
      <c r="AH40">
        <f t="shared" si="29"/>
        <v>0</v>
      </c>
      <c r="AI40">
        <f t="shared" si="30"/>
        <v>104.99999999999999</v>
      </c>
      <c r="AJ40">
        <f t="shared" si="31"/>
        <v>115.49999999999999</v>
      </c>
      <c r="AK40">
        <f t="shared" si="56"/>
        <v>206.92349999999999</v>
      </c>
      <c r="AL40">
        <f t="shared" si="57"/>
        <v>0</v>
      </c>
      <c r="AM40">
        <f>IFERROR(MIN(AL40,VLOOKUP(CONCATENATE(C40,"-to lingot"),negchutes,D40-2007,FALSE)),0)</f>
        <v>0</v>
      </c>
      <c r="AN40">
        <f t="shared" si="32"/>
        <v>0</v>
      </c>
      <c r="AO40" t="str">
        <f t="shared" si="62"/>
        <v>SO</v>
      </c>
      <c r="AP40">
        <f>IF(AR40=0,0,IFERROR(VLOOKUP(CONCATENATE($C40,"-to massif"),negchutes,$D40-2007,FALSE),0)*AM40/AR40)</f>
        <v>0</v>
      </c>
      <c r="AQ40">
        <f>IF(AR40=0,0,IFERROR(VLOOKUP(CONCATENATE($C40,"-to copeaux"),negchutes,$D40-2007,FALSE),0)*AM40/AR40)</f>
        <v>0</v>
      </c>
      <c r="AR40">
        <f>IFERROR(VLOOKUP(CONCATENATE($C40,"-to lingot"),negchutes,$D40-2007,FALSE),0)</f>
        <v>0</v>
      </c>
      <c r="AS40">
        <f>IF(AR40=0,0,AP40*VLOOKUP(CONCATENATE($C40,"-ac massif"),negchutes,$D40-2007,FALSE))</f>
        <v>0</v>
      </c>
      <c r="AT40">
        <f>IF(AR40=0,0,AQ40*VLOOKUP(CONCATENATE($C40,"-ac copeaux"),negchutes,$D40-2007,FALSE))</f>
        <v>0</v>
      </c>
      <c r="AU40">
        <f t="shared" si="58"/>
        <v>0</v>
      </c>
      <c r="AV40">
        <f>IFERROR(VLOOKUP(CONCATENATE(C40,"-px lingot"),negchutes,D40-2007,FALSE),0)*AM40</f>
        <v>0</v>
      </c>
      <c r="AW40">
        <f>AN40*VLOOKUP("Marché 1",pxlingot,D40-2010,FALSE)</f>
        <v>0</v>
      </c>
      <c r="AX40">
        <f t="shared" si="34"/>
        <v>0</v>
      </c>
      <c r="AY40" t="str">
        <f t="shared" si="59"/>
        <v>VAR</v>
      </c>
      <c r="AZ40">
        <f t="shared" si="60"/>
        <v>206.92349999999999</v>
      </c>
      <c r="BA40">
        <f>MAX(VLOOKUP(VLOOKUP(C40,descmarche,28,FALSE),pxlingot,D40-2010,FALSE),AX40)</f>
        <v>0</v>
      </c>
      <c r="BB40">
        <f t="shared" si="35"/>
        <v>0</v>
      </c>
      <c r="BC40" t="str">
        <f t="shared" si="61"/>
        <v>SO</v>
      </c>
    </row>
    <row r="41" spans="1:55" x14ac:dyDescent="0.25">
      <c r="A41" t="s">
        <v>16</v>
      </c>
      <c r="B41" s="4" t="s">
        <v>44</v>
      </c>
      <c r="C41" t="str">
        <f t="shared" si="38"/>
        <v>UKTMP-03</v>
      </c>
      <c r="D41">
        <v>2024</v>
      </c>
      <c r="E41">
        <v>2000</v>
      </c>
      <c r="F41" t="str">
        <f t="shared" si="1"/>
        <v>Boeing</v>
      </c>
      <c r="G41" t="str">
        <f t="shared" si="39"/>
        <v>Structure Boeing source UKTMP</v>
      </c>
      <c r="H41">
        <f t="shared" si="40"/>
        <v>0</v>
      </c>
      <c r="I41">
        <f t="shared" si="41"/>
        <v>5</v>
      </c>
      <c r="J41">
        <f t="shared" si="42"/>
        <v>1210</v>
      </c>
      <c r="K41">
        <f t="shared" si="43"/>
        <v>2000</v>
      </c>
      <c r="L41">
        <f t="shared" si="44"/>
        <v>2420</v>
      </c>
      <c r="M41">
        <f t="shared" si="45"/>
        <v>104.99999999999999</v>
      </c>
      <c r="N41">
        <f t="shared" si="46"/>
        <v>115.49999999999999</v>
      </c>
      <c r="O41" t="str">
        <f t="shared" si="47"/>
        <v>Marché 1</v>
      </c>
      <c r="P41">
        <f>VLOOKUP(O41,pxmassif,D41-2010,FALSE)*M41</f>
        <v>1312.4999999999998</v>
      </c>
      <c r="Q41">
        <f>VLOOKUP(O41,pxcopeau,D41-2010,FALSE)*N41</f>
        <v>866.24999999999989</v>
      </c>
      <c r="R41" t="str">
        <f t="shared" si="48"/>
        <v>SO</v>
      </c>
      <c r="S41">
        <f t="shared" si="49"/>
        <v>0</v>
      </c>
      <c r="T41">
        <f t="shared" si="50"/>
        <v>0</v>
      </c>
      <c r="U41" t="str">
        <f t="shared" si="51"/>
        <v>Marché 1</v>
      </c>
      <c r="V41">
        <f>VLOOKUP(U41,pxmassif,$D41-2010,FALSE)*S41</f>
        <v>0</v>
      </c>
      <c r="W41">
        <f>VLOOKUP(U41,pxcopeau,$D41-2010,FALSE)*T41</f>
        <v>0</v>
      </c>
      <c r="X41" t="str">
        <f t="shared" si="52"/>
        <v>SO</v>
      </c>
      <c r="Y41">
        <f t="shared" si="53"/>
        <v>0</v>
      </c>
      <c r="Z41">
        <f t="shared" si="54"/>
        <v>0</v>
      </c>
      <c r="AA41" t="str">
        <f t="shared" si="55"/>
        <v>Marché 1</v>
      </c>
      <c r="AB41">
        <f>VLOOKUP(AA41,pxmassif,$D41-2010,FALSE)*Y41</f>
        <v>0</v>
      </c>
      <c r="AC41">
        <f>VLOOKUP(AA41,pxcopeau,$D41-2010,FALSE)*Z41</f>
        <v>0</v>
      </c>
      <c r="AD41">
        <f t="shared" si="25"/>
        <v>104.99999999999999</v>
      </c>
      <c r="AE41">
        <f t="shared" si="26"/>
        <v>115.49999999999999</v>
      </c>
      <c r="AF41">
        <f t="shared" si="27"/>
        <v>220.49999999999997</v>
      </c>
      <c r="AG41">
        <f t="shared" si="28"/>
        <v>0</v>
      </c>
      <c r="AH41">
        <f t="shared" si="29"/>
        <v>0</v>
      </c>
      <c r="AI41">
        <f t="shared" si="30"/>
        <v>104.99999999999999</v>
      </c>
      <c r="AJ41">
        <f t="shared" si="31"/>
        <v>115.49999999999999</v>
      </c>
      <c r="AK41">
        <f t="shared" si="56"/>
        <v>206.92349999999999</v>
      </c>
      <c r="AL41">
        <f t="shared" si="57"/>
        <v>0</v>
      </c>
      <c r="AM41">
        <f>IFERROR(MIN(AL41,VLOOKUP(CONCATENATE(C41,"-to lingot"),negchutes,D41-2007,FALSE)),0)</f>
        <v>0</v>
      </c>
      <c r="AN41">
        <f t="shared" si="32"/>
        <v>0</v>
      </c>
      <c r="AO41" t="str">
        <f t="shared" si="62"/>
        <v>SO</v>
      </c>
      <c r="AP41">
        <f>IF(AR41=0,0,IFERROR(VLOOKUP(CONCATENATE($C41,"-to massif"),negchutes,$D41-2007,FALSE),0)*AM41/AR41)</f>
        <v>0</v>
      </c>
      <c r="AQ41">
        <f>IF(AR41=0,0,IFERROR(VLOOKUP(CONCATENATE($C41,"-to copeaux"),negchutes,$D41-2007,FALSE),0)*AM41/AR41)</f>
        <v>0</v>
      </c>
      <c r="AR41">
        <f>IFERROR(VLOOKUP(CONCATENATE($C41,"-to lingot"),negchutes,$D41-2007,FALSE),0)</f>
        <v>0</v>
      </c>
      <c r="AS41">
        <f>IF(AR41=0,0,AP41*VLOOKUP(CONCATENATE($C41,"-ac massif"),negchutes,$D41-2007,FALSE))</f>
        <v>0</v>
      </c>
      <c r="AT41">
        <f>IF(AR41=0,0,AQ41*VLOOKUP(CONCATENATE($C41,"-ac copeaux"),negchutes,$D41-2007,FALSE))</f>
        <v>0</v>
      </c>
      <c r="AU41">
        <f t="shared" si="58"/>
        <v>0</v>
      </c>
      <c r="AV41">
        <f>IFERROR(VLOOKUP(CONCATENATE(C41,"-px lingot"),negchutes,D41-2007,FALSE),0)*AM41</f>
        <v>0</v>
      </c>
      <c r="AW41">
        <f>AN41*VLOOKUP("Marché 1",pxlingot,D41-2010,FALSE)</f>
        <v>0</v>
      </c>
      <c r="AX41">
        <f t="shared" si="34"/>
        <v>0</v>
      </c>
      <c r="AY41" t="str">
        <f t="shared" si="59"/>
        <v>VAR</v>
      </c>
      <c r="AZ41">
        <f t="shared" si="60"/>
        <v>206.92349999999999</v>
      </c>
      <c r="BA41">
        <f>MAX(VLOOKUP(VLOOKUP(C41,descmarche,28,FALSE),pxlingot,D41-2010,FALSE),AX41)</f>
        <v>0</v>
      </c>
      <c r="BB41">
        <f t="shared" si="35"/>
        <v>0</v>
      </c>
      <c r="BC41" t="str">
        <f t="shared" si="61"/>
        <v>SO</v>
      </c>
    </row>
    <row r="42" spans="1:55" x14ac:dyDescent="0.25">
      <c r="A42" t="s">
        <v>16</v>
      </c>
      <c r="B42" s="4" t="s">
        <v>45</v>
      </c>
      <c r="C42" t="str">
        <f t="shared" si="38"/>
        <v>UKTMP-04</v>
      </c>
      <c r="D42">
        <v>2012</v>
      </c>
      <c r="E42">
        <v>0</v>
      </c>
      <c r="F42" t="str">
        <f t="shared" si="1"/>
        <v>Autres Avionneurs</v>
      </c>
      <c r="G42" t="str">
        <f t="shared" si="39"/>
        <v>Autres Structures source UKTMP</v>
      </c>
      <c r="H42">
        <f t="shared" si="40"/>
        <v>0</v>
      </c>
      <c r="I42">
        <f t="shared" si="41"/>
        <v>5</v>
      </c>
      <c r="J42">
        <f t="shared" si="42"/>
        <v>1210</v>
      </c>
      <c r="K42">
        <f t="shared" si="43"/>
        <v>0</v>
      </c>
      <c r="L42">
        <f t="shared" si="44"/>
        <v>0</v>
      </c>
      <c r="M42">
        <f t="shared" si="45"/>
        <v>0</v>
      </c>
      <c r="N42">
        <f t="shared" si="46"/>
        <v>0</v>
      </c>
      <c r="O42" t="str">
        <f t="shared" si="47"/>
        <v>Marché 1</v>
      </c>
      <c r="P42">
        <f>VLOOKUP(O42,pxmassif,D42-2010,FALSE)*M42</f>
        <v>0</v>
      </c>
      <c r="Q42">
        <f>VLOOKUP(O42,pxcopeau,D42-2010,FALSE)*N42</f>
        <v>0</v>
      </c>
      <c r="R42" t="str">
        <f t="shared" si="48"/>
        <v>SO</v>
      </c>
      <c r="S42">
        <f t="shared" si="49"/>
        <v>0</v>
      </c>
      <c r="T42">
        <f t="shared" si="50"/>
        <v>0</v>
      </c>
      <c r="U42" t="str">
        <f t="shared" si="51"/>
        <v>Marché 1</v>
      </c>
      <c r="V42">
        <f>VLOOKUP(U42,pxmassif,$D42-2010,FALSE)*S42</f>
        <v>0</v>
      </c>
      <c r="W42">
        <f>VLOOKUP(U42,pxcopeau,$D42-2010,FALSE)*T42</f>
        <v>0</v>
      </c>
      <c r="X42" t="str">
        <f t="shared" si="52"/>
        <v>SO</v>
      </c>
      <c r="Y42">
        <f t="shared" si="53"/>
        <v>0</v>
      </c>
      <c r="Z42">
        <f t="shared" si="54"/>
        <v>0</v>
      </c>
      <c r="AA42" t="str">
        <f t="shared" si="55"/>
        <v>Marché 1</v>
      </c>
      <c r="AB42">
        <f>VLOOKUP(AA42,pxmassif,$D42-2010,FALSE)*Y42</f>
        <v>0</v>
      </c>
      <c r="AC42">
        <f>VLOOKUP(AA42,pxcopeau,$D42-2010,FALSE)*Z42</f>
        <v>0</v>
      </c>
      <c r="AD42">
        <f t="shared" si="25"/>
        <v>0</v>
      </c>
      <c r="AE42">
        <f t="shared" si="26"/>
        <v>0</v>
      </c>
      <c r="AF42">
        <f t="shared" si="27"/>
        <v>0</v>
      </c>
      <c r="AG42">
        <f t="shared" si="28"/>
        <v>0</v>
      </c>
      <c r="AH42">
        <f t="shared" si="29"/>
        <v>0</v>
      </c>
      <c r="AI42">
        <f t="shared" si="30"/>
        <v>0</v>
      </c>
      <c r="AJ42">
        <f t="shared" si="31"/>
        <v>0</v>
      </c>
      <c r="AK42">
        <f t="shared" si="56"/>
        <v>0</v>
      </c>
      <c r="AL42">
        <f t="shared" si="57"/>
        <v>0</v>
      </c>
      <c r="AM42">
        <f>IFERROR(MIN(AL42,VLOOKUP(CONCATENATE(C42,"-to lingot"),negchutes,D42-2007,FALSE)),0)</f>
        <v>0</v>
      </c>
      <c r="AN42">
        <f t="shared" si="32"/>
        <v>0</v>
      </c>
      <c r="AO42" t="str">
        <f t="shared" si="62"/>
        <v>SO</v>
      </c>
      <c r="AP42">
        <f>IF(AR42=0,0,IFERROR(VLOOKUP(CONCATENATE($C42,"-to massif"),negchutes,$D42-2007,FALSE),0)*AM42/AR42)</f>
        <v>0</v>
      </c>
      <c r="AQ42">
        <f>IF(AR42=0,0,IFERROR(VLOOKUP(CONCATENATE($C42,"-to copeaux"),negchutes,$D42-2007,FALSE),0)*AM42/AR42)</f>
        <v>0</v>
      </c>
      <c r="AR42">
        <f>IFERROR(VLOOKUP(CONCATENATE($C42,"-to lingot"),negchutes,$D42-2007,FALSE),0)</f>
        <v>0</v>
      </c>
      <c r="AS42">
        <f>IF(AR42=0,0,AP42*VLOOKUP(CONCATENATE($C42,"-ac massif"),negchutes,$D42-2007,FALSE))</f>
        <v>0</v>
      </c>
      <c r="AT42">
        <f>IF(AR42=0,0,AQ42*VLOOKUP(CONCATENATE($C42,"-ac copeaux"),negchutes,$D42-2007,FALSE))</f>
        <v>0</v>
      </c>
      <c r="AU42">
        <f t="shared" si="58"/>
        <v>0</v>
      </c>
      <c r="AV42">
        <f>IFERROR(VLOOKUP(CONCATENATE(C42,"-px lingot"),negchutes,D42-2007,FALSE),0)*AM42</f>
        <v>0</v>
      </c>
      <c r="AW42">
        <f>AN42*VLOOKUP("Marché 1",pxlingot,D42-2010,FALSE)</f>
        <v>0</v>
      </c>
      <c r="AX42">
        <f t="shared" si="34"/>
        <v>0</v>
      </c>
      <c r="AY42" t="str">
        <f t="shared" si="59"/>
        <v>VAR</v>
      </c>
      <c r="AZ42">
        <f t="shared" si="60"/>
        <v>0</v>
      </c>
      <c r="BA42">
        <f>MAX(VLOOKUP(VLOOKUP(C42,descmarche,28,FALSE),pxlingot,D42-2010,FALSE),AX42)</f>
        <v>0</v>
      </c>
      <c r="BB42">
        <f t="shared" si="35"/>
        <v>0</v>
      </c>
      <c r="BC42" t="str">
        <f t="shared" si="61"/>
        <v>SO</v>
      </c>
    </row>
    <row r="43" spans="1:55" x14ac:dyDescent="0.25">
      <c r="A43" t="s">
        <v>16</v>
      </c>
      <c r="B43" s="4" t="s">
        <v>45</v>
      </c>
      <c r="C43" t="str">
        <f t="shared" si="38"/>
        <v>UKTMP-04</v>
      </c>
      <c r="D43">
        <v>2013</v>
      </c>
      <c r="E43">
        <v>20</v>
      </c>
      <c r="F43" t="str">
        <f t="shared" si="1"/>
        <v>Autres Avionneurs</v>
      </c>
      <c r="G43" t="str">
        <f t="shared" si="39"/>
        <v>Autres Structures source UKTMP</v>
      </c>
      <c r="H43">
        <f t="shared" si="40"/>
        <v>0</v>
      </c>
      <c r="I43">
        <f t="shared" si="41"/>
        <v>5</v>
      </c>
      <c r="J43">
        <f t="shared" si="42"/>
        <v>1210</v>
      </c>
      <c r="K43">
        <f t="shared" si="43"/>
        <v>20</v>
      </c>
      <c r="L43">
        <f t="shared" si="44"/>
        <v>24.2</v>
      </c>
      <c r="M43">
        <f t="shared" si="45"/>
        <v>1.0499999999999998</v>
      </c>
      <c r="N43">
        <f t="shared" si="46"/>
        <v>1.1549999999999998</v>
      </c>
      <c r="O43" t="str">
        <f t="shared" si="47"/>
        <v>Marché 1</v>
      </c>
      <c r="P43">
        <f>VLOOKUP(O43,pxmassif,D43-2010,FALSE)*M43</f>
        <v>13.124999999999998</v>
      </c>
      <c r="Q43">
        <f>VLOOKUP(O43,pxcopeau,D43-2010,FALSE)*N43</f>
        <v>8.6624999999999979</v>
      </c>
      <c r="R43" t="str">
        <f t="shared" si="48"/>
        <v>SO</v>
      </c>
      <c r="S43">
        <f t="shared" si="49"/>
        <v>0</v>
      </c>
      <c r="T43">
        <f t="shared" si="50"/>
        <v>0</v>
      </c>
      <c r="U43" t="str">
        <f t="shared" si="51"/>
        <v>Marché 1</v>
      </c>
      <c r="V43">
        <f>VLOOKUP(U43,pxmassif,$D43-2010,FALSE)*S43</f>
        <v>0</v>
      </c>
      <c r="W43">
        <f>VLOOKUP(U43,pxcopeau,$D43-2010,FALSE)*T43</f>
        <v>0</v>
      </c>
      <c r="X43" t="str">
        <f t="shared" si="52"/>
        <v>SO</v>
      </c>
      <c r="Y43">
        <f t="shared" si="53"/>
        <v>0</v>
      </c>
      <c r="Z43">
        <f t="shared" si="54"/>
        <v>0</v>
      </c>
      <c r="AA43" t="str">
        <f t="shared" si="55"/>
        <v>Marché 1</v>
      </c>
      <c r="AB43">
        <f>VLOOKUP(AA43,pxmassif,$D43-2010,FALSE)*Y43</f>
        <v>0</v>
      </c>
      <c r="AC43">
        <f>VLOOKUP(AA43,pxcopeau,$D43-2010,FALSE)*Z43</f>
        <v>0</v>
      </c>
      <c r="AD43">
        <f t="shared" si="25"/>
        <v>1.0499999999999998</v>
      </c>
      <c r="AE43">
        <f t="shared" si="26"/>
        <v>1.1549999999999998</v>
      </c>
      <c r="AF43">
        <f t="shared" si="27"/>
        <v>2.2049999999999996</v>
      </c>
      <c r="AG43">
        <f t="shared" si="28"/>
        <v>0</v>
      </c>
      <c r="AH43">
        <f t="shared" si="29"/>
        <v>0</v>
      </c>
      <c r="AI43">
        <f t="shared" si="30"/>
        <v>1.0499999999999998</v>
      </c>
      <c r="AJ43">
        <f t="shared" si="31"/>
        <v>1.1549999999999998</v>
      </c>
      <c r="AK43">
        <f t="shared" si="56"/>
        <v>2.0692349999999999</v>
      </c>
      <c r="AL43">
        <f t="shared" si="57"/>
        <v>0</v>
      </c>
      <c r="AM43">
        <f>IFERROR(MIN(AL43,VLOOKUP(CONCATENATE(C43,"-to lingot"),negchutes,D43-2007,FALSE)),0)</f>
        <v>0</v>
      </c>
      <c r="AN43">
        <f t="shared" si="32"/>
        <v>0</v>
      </c>
      <c r="AO43" t="str">
        <f t="shared" si="62"/>
        <v>SO</v>
      </c>
      <c r="AP43">
        <f>IF(AR43=0,0,IFERROR(VLOOKUP(CONCATENATE($C43,"-to massif"),negchutes,$D43-2007,FALSE),0)*AM43/AR43)</f>
        <v>0</v>
      </c>
      <c r="AQ43">
        <f>IF(AR43=0,0,IFERROR(VLOOKUP(CONCATENATE($C43,"-to copeaux"),negchutes,$D43-2007,FALSE),0)*AM43/AR43)</f>
        <v>0</v>
      </c>
      <c r="AR43">
        <f>IFERROR(VLOOKUP(CONCATENATE($C43,"-to lingot"),negchutes,$D43-2007,FALSE),0)</f>
        <v>0</v>
      </c>
      <c r="AS43">
        <f>IF(AR43=0,0,AP43*VLOOKUP(CONCATENATE($C43,"-ac massif"),negchutes,$D43-2007,FALSE))</f>
        <v>0</v>
      </c>
      <c r="AT43">
        <f>IF(AR43=0,0,AQ43*VLOOKUP(CONCATENATE($C43,"-ac copeaux"),negchutes,$D43-2007,FALSE))</f>
        <v>0</v>
      </c>
      <c r="AU43">
        <f t="shared" si="58"/>
        <v>0</v>
      </c>
      <c r="AV43">
        <f>IFERROR(VLOOKUP(CONCATENATE(C43,"-px lingot"),negchutes,D43-2007,FALSE),0)*AM43</f>
        <v>0</v>
      </c>
      <c r="AW43">
        <f>AN43*VLOOKUP("Marché 1",pxlingot,D43-2010,FALSE)</f>
        <v>0</v>
      </c>
      <c r="AX43">
        <f t="shared" si="34"/>
        <v>0</v>
      </c>
      <c r="AY43" t="str">
        <f t="shared" si="59"/>
        <v>VAR</v>
      </c>
      <c r="AZ43">
        <f t="shared" si="60"/>
        <v>2.0692349999999999</v>
      </c>
      <c r="BA43">
        <f>MAX(VLOOKUP(VLOOKUP(C43,descmarche,28,FALSE),pxlingot,D43-2010,FALSE),AX43)</f>
        <v>0</v>
      </c>
      <c r="BB43">
        <f t="shared" si="35"/>
        <v>0</v>
      </c>
      <c r="BC43" t="str">
        <f t="shared" si="61"/>
        <v>SO</v>
      </c>
    </row>
    <row r="44" spans="1:55" x14ac:dyDescent="0.25">
      <c r="A44" t="s">
        <v>16</v>
      </c>
      <c r="B44" s="4" t="s">
        <v>45</v>
      </c>
      <c r="C44" t="str">
        <f t="shared" ref="C44:C56" si="63">CONCATENATE(A44,"-",B44)</f>
        <v>UKTMP-04</v>
      </c>
      <c r="D44">
        <v>2014</v>
      </c>
      <c r="E44">
        <v>20</v>
      </c>
      <c r="F44" t="str">
        <f t="shared" si="1"/>
        <v>Autres Avionneurs</v>
      </c>
      <c r="G44" t="str">
        <f t="shared" si="39"/>
        <v>Autres Structures source UKTMP</v>
      </c>
      <c r="H44">
        <f t="shared" si="40"/>
        <v>0</v>
      </c>
      <c r="I44">
        <f t="shared" si="41"/>
        <v>5</v>
      </c>
      <c r="J44">
        <f t="shared" si="42"/>
        <v>1210</v>
      </c>
      <c r="K44">
        <f t="shared" si="43"/>
        <v>20</v>
      </c>
      <c r="L44">
        <f t="shared" si="44"/>
        <v>24.2</v>
      </c>
      <c r="M44">
        <f t="shared" si="45"/>
        <v>1.0499999999999998</v>
      </c>
      <c r="N44">
        <f t="shared" si="46"/>
        <v>1.1549999999999998</v>
      </c>
      <c r="O44" t="str">
        <f t="shared" si="47"/>
        <v>Marché 1</v>
      </c>
      <c r="P44">
        <f>VLOOKUP(O44,pxmassif,D44-2010,FALSE)*M44</f>
        <v>13.124999999999998</v>
      </c>
      <c r="Q44">
        <f>VLOOKUP(O44,pxcopeau,D44-2010,FALSE)*N44</f>
        <v>8.6624999999999979</v>
      </c>
      <c r="R44" t="str">
        <f t="shared" si="48"/>
        <v>SO</v>
      </c>
      <c r="S44">
        <f t="shared" si="49"/>
        <v>0</v>
      </c>
      <c r="T44">
        <f t="shared" si="50"/>
        <v>0</v>
      </c>
      <c r="U44" t="str">
        <f t="shared" si="51"/>
        <v>Marché 1</v>
      </c>
      <c r="V44">
        <f>VLOOKUP(U44,pxmassif,$D44-2010,FALSE)*S44</f>
        <v>0</v>
      </c>
      <c r="W44">
        <f>VLOOKUP(U44,pxcopeau,$D44-2010,FALSE)*T44</f>
        <v>0</v>
      </c>
      <c r="X44" t="str">
        <f t="shared" si="52"/>
        <v>SO</v>
      </c>
      <c r="Y44">
        <f t="shared" si="53"/>
        <v>0</v>
      </c>
      <c r="Z44">
        <f t="shared" si="54"/>
        <v>0</v>
      </c>
      <c r="AA44" t="str">
        <f t="shared" si="55"/>
        <v>Marché 1</v>
      </c>
      <c r="AB44">
        <f>VLOOKUP(AA44,pxmassif,$D44-2010,FALSE)*Y44</f>
        <v>0</v>
      </c>
      <c r="AC44">
        <f>VLOOKUP(AA44,pxcopeau,$D44-2010,FALSE)*Z44</f>
        <v>0</v>
      </c>
      <c r="AD44">
        <f t="shared" si="25"/>
        <v>1.0499999999999998</v>
      </c>
      <c r="AE44">
        <f t="shared" si="26"/>
        <v>1.1549999999999998</v>
      </c>
      <c r="AF44">
        <f t="shared" si="27"/>
        <v>2.2049999999999996</v>
      </c>
      <c r="AG44">
        <f t="shared" si="28"/>
        <v>0</v>
      </c>
      <c r="AH44">
        <f t="shared" si="29"/>
        <v>0</v>
      </c>
      <c r="AI44">
        <f t="shared" si="30"/>
        <v>1.0499999999999998</v>
      </c>
      <c r="AJ44">
        <f t="shared" si="31"/>
        <v>1.1549999999999998</v>
      </c>
      <c r="AK44">
        <f t="shared" si="56"/>
        <v>2.0692349999999999</v>
      </c>
      <c r="AL44">
        <f t="shared" si="57"/>
        <v>0</v>
      </c>
      <c r="AM44">
        <f>IFERROR(MIN(AL44,VLOOKUP(CONCATENATE(C44,"-to lingot"),negchutes,D44-2007,FALSE)),0)</f>
        <v>0</v>
      </c>
      <c r="AN44">
        <f t="shared" si="32"/>
        <v>0</v>
      </c>
      <c r="AO44" t="str">
        <f t="shared" si="62"/>
        <v>SO</v>
      </c>
      <c r="AP44">
        <f>IF(AR44=0,0,IFERROR(VLOOKUP(CONCATENATE($C44,"-to massif"),negchutes,$D44-2007,FALSE),0)*AM44/AR44)</f>
        <v>0</v>
      </c>
      <c r="AQ44">
        <f>IF(AR44=0,0,IFERROR(VLOOKUP(CONCATENATE($C44,"-to copeaux"),negchutes,$D44-2007,FALSE),0)*AM44/AR44)</f>
        <v>0</v>
      </c>
      <c r="AR44">
        <f>IFERROR(VLOOKUP(CONCATENATE($C44,"-to lingot"),negchutes,$D44-2007,FALSE),0)</f>
        <v>0</v>
      </c>
      <c r="AS44">
        <f>IF(AR44=0,0,AP44*VLOOKUP(CONCATENATE($C44,"-ac massif"),negchutes,$D44-2007,FALSE))</f>
        <v>0</v>
      </c>
      <c r="AT44">
        <f>IF(AR44=0,0,AQ44*VLOOKUP(CONCATENATE($C44,"-ac copeaux"),negchutes,$D44-2007,FALSE))</f>
        <v>0</v>
      </c>
      <c r="AU44">
        <f t="shared" si="58"/>
        <v>0</v>
      </c>
      <c r="AV44">
        <f>IFERROR(VLOOKUP(CONCATENATE(C44,"-px lingot"),negchutes,D44-2007,FALSE),0)*AM44</f>
        <v>0</v>
      </c>
      <c r="AW44">
        <f>AN44*VLOOKUP("Marché 1",pxlingot,D44-2010,FALSE)</f>
        <v>0</v>
      </c>
      <c r="AX44">
        <f t="shared" si="34"/>
        <v>0</v>
      </c>
      <c r="AY44" t="str">
        <f t="shared" si="59"/>
        <v>VAR</v>
      </c>
      <c r="AZ44">
        <f t="shared" si="60"/>
        <v>2.0692349999999999</v>
      </c>
      <c r="BA44">
        <f>MAX(VLOOKUP(VLOOKUP(C44,descmarche,28,FALSE),pxlingot,D44-2010,FALSE),AX44)</f>
        <v>0</v>
      </c>
      <c r="BB44">
        <f t="shared" si="35"/>
        <v>0</v>
      </c>
      <c r="BC44" t="str">
        <f t="shared" si="61"/>
        <v>SO</v>
      </c>
    </row>
    <row r="45" spans="1:55" x14ac:dyDescent="0.25">
      <c r="A45" t="s">
        <v>16</v>
      </c>
      <c r="B45" s="4" t="s">
        <v>45</v>
      </c>
      <c r="C45" t="str">
        <f t="shared" si="63"/>
        <v>UKTMP-04</v>
      </c>
      <c r="D45">
        <v>2015</v>
      </c>
      <c r="E45">
        <v>50</v>
      </c>
      <c r="F45" t="str">
        <f t="shared" si="1"/>
        <v>Autres Avionneurs</v>
      </c>
      <c r="G45" t="str">
        <f t="shared" si="39"/>
        <v>Autres Structures source UKTMP</v>
      </c>
      <c r="H45">
        <f t="shared" si="40"/>
        <v>0</v>
      </c>
      <c r="I45">
        <f t="shared" si="41"/>
        <v>5</v>
      </c>
      <c r="J45">
        <f t="shared" si="42"/>
        <v>1210</v>
      </c>
      <c r="K45">
        <f t="shared" si="43"/>
        <v>50</v>
      </c>
      <c r="L45">
        <f t="shared" si="44"/>
        <v>60.5</v>
      </c>
      <c r="M45">
        <f t="shared" si="45"/>
        <v>2.6249999999999996</v>
      </c>
      <c r="N45">
        <f t="shared" si="46"/>
        <v>2.8874999999999997</v>
      </c>
      <c r="O45" t="str">
        <f t="shared" si="47"/>
        <v>Marché 1</v>
      </c>
      <c r="P45">
        <f>VLOOKUP(O45,pxmassif,D45-2010,FALSE)*M45</f>
        <v>32.812499999999993</v>
      </c>
      <c r="Q45">
        <f>VLOOKUP(O45,pxcopeau,D45-2010,FALSE)*N45</f>
        <v>21.656249999999996</v>
      </c>
      <c r="R45" t="str">
        <f t="shared" si="48"/>
        <v>SO</v>
      </c>
      <c r="S45">
        <f t="shared" si="49"/>
        <v>0</v>
      </c>
      <c r="T45">
        <f t="shared" si="50"/>
        <v>0</v>
      </c>
      <c r="U45" t="str">
        <f t="shared" si="51"/>
        <v>Marché 1</v>
      </c>
      <c r="V45">
        <f>VLOOKUP(U45,pxmassif,$D45-2010,FALSE)*S45</f>
        <v>0</v>
      </c>
      <c r="W45">
        <f>VLOOKUP(U45,pxcopeau,$D45-2010,FALSE)*T45</f>
        <v>0</v>
      </c>
      <c r="X45" t="str">
        <f t="shared" si="52"/>
        <v>SO</v>
      </c>
      <c r="Y45">
        <f t="shared" si="53"/>
        <v>0</v>
      </c>
      <c r="Z45">
        <f t="shared" si="54"/>
        <v>0</v>
      </c>
      <c r="AA45" t="str">
        <f t="shared" si="55"/>
        <v>Marché 1</v>
      </c>
      <c r="AB45">
        <f>VLOOKUP(AA45,pxmassif,$D45-2010,FALSE)*Y45</f>
        <v>0</v>
      </c>
      <c r="AC45">
        <f>VLOOKUP(AA45,pxcopeau,$D45-2010,FALSE)*Z45</f>
        <v>0</v>
      </c>
      <c r="AD45">
        <f t="shared" si="25"/>
        <v>2.6249999999999996</v>
      </c>
      <c r="AE45">
        <f t="shared" si="26"/>
        <v>2.8874999999999997</v>
      </c>
      <c r="AF45">
        <f t="shared" si="27"/>
        <v>5.5124999999999993</v>
      </c>
      <c r="AG45">
        <f t="shared" si="28"/>
        <v>0</v>
      </c>
      <c r="AH45">
        <f t="shared" si="29"/>
        <v>0</v>
      </c>
      <c r="AI45">
        <f t="shared" si="30"/>
        <v>2.6249999999999996</v>
      </c>
      <c r="AJ45">
        <f t="shared" si="31"/>
        <v>2.8874999999999997</v>
      </c>
      <c r="AK45">
        <f t="shared" si="56"/>
        <v>5.1730874999999994</v>
      </c>
      <c r="AL45">
        <f t="shared" si="57"/>
        <v>0</v>
      </c>
      <c r="AM45">
        <f>IFERROR(MIN(AL45,VLOOKUP(CONCATENATE(C45,"-to lingot"),negchutes,D45-2007,FALSE)),0)</f>
        <v>0</v>
      </c>
      <c r="AN45">
        <f t="shared" si="32"/>
        <v>0</v>
      </c>
      <c r="AO45" t="str">
        <f t="shared" si="62"/>
        <v>SO</v>
      </c>
      <c r="AP45">
        <f>IF(AR45=0,0,IFERROR(VLOOKUP(CONCATENATE($C45,"-to massif"),negchutes,$D45-2007,FALSE),0)*AM45/AR45)</f>
        <v>0</v>
      </c>
      <c r="AQ45">
        <f>IF(AR45=0,0,IFERROR(VLOOKUP(CONCATENATE($C45,"-to copeaux"),negchutes,$D45-2007,FALSE),0)*AM45/AR45)</f>
        <v>0</v>
      </c>
      <c r="AR45">
        <f>IFERROR(VLOOKUP(CONCATENATE($C45,"-to lingot"),negchutes,$D45-2007,FALSE),0)</f>
        <v>0</v>
      </c>
      <c r="AS45">
        <f>IF(AR45=0,0,AP45*VLOOKUP(CONCATENATE($C45,"-ac massif"),negchutes,$D45-2007,FALSE))</f>
        <v>0</v>
      </c>
      <c r="AT45">
        <f>IF(AR45=0,0,AQ45*VLOOKUP(CONCATENATE($C45,"-ac copeaux"),negchutes,$D45-2007,FALSE))</f>
        <v>0</v>
      </c>
      <c r="AU45">
        <f t="shared" si="58"/>
        <v>0</v>
      </c>
      <c r="AV45">
        <f>IFERROR(VLOOKUP(CONCATENATE(C45,"-px lingot"),negchutes,D45-2007,FALSE),0)*AM45</f>
        <v>0</v>
      </c>
      <c r="AW45">
        <f>AN45*VLOOKUP("Marché 1",pxlingot,D45-2010,FALSE)</f>
        <v>0</v>
      </c>
      <c r="AX45">
        <f t="shared" si="34"/>
        <v>0</v>
      </c>
      <c r="AY45" t="str">
        <f t="shared" si="59"/>
        <v>VAR</v>
      </c>
      <c r="AZ45">
        <f t="shared" si="60"/>
        <v>5.1730874999999994</v>
      </c>
      <c r="BA45">
        <f>MAX(VLOOKUP(VLOOKUP(C45,descmarche,28,FALSE),pxlingot,D45-2010,FALSE),AX45)</f>
        <v>0</v>
      </c>
      <c r="BB45">
        <f t="shared" si="35"/>
        <v>0</v>
      </c>
      <c r="BC45" t="str">
        <f t="shared" si="61"/>
        <v>SO</v>
      </c>
    </row>
    <row r="46" spans="1:55" x14ac:dyDescent="0.25">
      <c r="A46" t="s">
        <v>16</v>
      </c>
      <c r="B46" s="4" t="s">
        <v>45</v>
      </c>
      <c r="C46" t="str">
        <f t="shared" si="63"/>
        <v>UKTMP-04</v>
      </c>
      <c r="D46">
        <v>2016</v>
      </c>
      <c r="E46">
        <v>100</v>
      </c>
      <c r="F46" t="str">
        <f t="shared" si="1"/>
        <v>Autres Avionneurs</v>
      </c>
      <c r="G46" t="str">
        <f t="shared" si="39"/>
        <v>Autres Structures source UKTMP</v>
      </c>
      <c r="H46">
        <f t="shared" si="40"/>
        <v>0</v>
      </c>
      <c r="I46">
        <f t="shared" si="41"/>
        <v>5</v>
      </c>
      <c r="J46">
        <f t="shared" si="42"/>
        <v>1210</v>
      </c>
      <c r="K46">
        <f t="shared" si="43"/>
        <v>100</v>
      </c>
      <c r="L46">
        <f t="shared" si="44"/>
        <v>121</v>
      </c>
      <c r="M46">
        <f t="shared" si="45"/>
        <v>5.2499999999999991</v>
      </c>
      <c r="N46">
        <f t="shared" si="46"/>
        <v>5.7749999999999995</v>
      </c>
      <c r="O46" t="str">
        <f t="shared" si="47"/>
        <v>Marché 1</v>
      </c>
      <c r="P46">
        <f>VLOOKUP(O46,pxmassif,D46-2010,FALSE)*M46</f>
        <v>65.624999999999986</v>
      </c>
      <c r="Q46">
        <f>VLOOKUP(O46,pxcopeau,D46-2010,FALSE)*N46</f>
        <v>43.312499999999993</v>
      </c>
      <c r="R46" t="str">
        <f t="shared" si="48"/>
        <v>SO</v>
      </c>
      <c r="S46">
        <f t="shared" si="49"/>
        <v>0</v>
      </c>
      <c r="T46">
        <f t="shared" si="50"/>
        <v>0</v>
      </c>
      <c r="U46" t="str">
        <f t="shared" si="51"/>
        <v>Marché 1</v>
      </c>
      <c r="V46">
        <f>VLOOKUP(U46,pxmassif,$D46-2010,FALSE)*S46</f>
        <v>0</v>
      </c>
      <c r="W46">
        <f>VLOOKUP(U46,pxcopeau,$D46-2010,FALSE)*T46</f>
        <v>0</v>
      </c>
      <c r="X46" t="str">
        <f t="shared" si="52"/>
        <v>SO</v>
      </c>
      <c r="Y46">
        <f t="shared" si="53"/>
        <v>0</v>
      </c>
      <c r="Z46">
        <f t="shared" si="54"/>
        <v>0</v>
      </c>
      <c r="AA46" t="str">
        <f t="shared" si="55"/>
        <v>Marché 1</v>
      </c>
      <c r="AB46">
        <f>VLOOKUP(AA46,pxmassif,$D46-2010,FALSE)*Y46</f>
        <v>0</v>
      </c>
      <c r="AC46">
        <f>VLOOKUP(AA46,pxcopeau,$D46-2010,FALSE)*Z46</f>
        <v>0</v>
      </c>
      <c r="AD46">
        <f t="shared" si="25"/>
        <v>5.2499999999999991</v>
      </c>
      <c r="AE46">
        <f t="shared" si="26"/>
        <v>5.7749999999999995</v>
      </c>
      <c r="AF46">
        <f t="shared" si="27"/>
        <v>11.024999999999999</v>
      </c>
      <c r="AG46">
        <f t="shared" si="28"/>
        <v>0</v>
      </c>
      <c r="AH46">
        <f t="shared" si="29"/>
        <v>0</v>
      </c>
      <c r="AI46">
        <f t="shared" si="30"/>
        <v>5.2499999999999991</v>
      </c>
      <c r="AJ46">
        <f t="shared" si="31"/>
        <v>5.7749999999999995</v>
      </c>
      <c r="AK46">
        <f t="shared" si="56"/>
        <v>10.346174999999999</v>
      </c>
      <c r="AL46">
        <f t="shared" si="57"/>
        <v>0</v>
      </c>
      <c r="AM46">
        <f>IFERROR(MIN(AL46,VLOOKUP(CONCATENATE(C46,"-to lingot"),negchutes,D46-2007,FALSE)),0)</f>
        <v>0</v>
      </c>
      <c r="AN46">
        <f t="shared" si="32"/>
        <v>0</v>
      </c>
      <c r="AO46" t="str">
        <f t="shared" si="62"/>
        <v>SO</v>
      </c>
      <c r="AP46">
        <f>IF(AR46=0,0,IFERROR(VLOOKUP(CONCATENATE($C46,"-to massif"),negchutes,$D46-2007,FALSE),0)*AM46/AR46)</f>
        <v>0</v>
      </c>
      <c r="AQ46">
        <f>IF(AR46=0,0,IFERROR(VLOOKUP(CONCATENATE($C46,"-to copeaux"),negchutes,$D46-2007,FALSE),0)*AM46/AR46)</f>
        <v>0</v>
      </c>
      <c r="AR46">
        <f>IFERROR(VLOOKUP(CONCATENATE($C46,"-to lingot"),negchutes,$D46-2007,FALSE),0)</f>
        <v>0</v>
      </c>
      <c r="AS46">
        <f>IF(AR46=0,0,AP46*VLOOKUP(CONCATENATE($C46,"-ac massif"),negchutes,$D46-2007,FALSE))</f>
        <v>0</v>
      </c>
      <c r="AT46">
        <f>IF(AR46=0,0,AQ46*VLOOKUP(CONCATENATE($C46,"-ac copeaux"),negchutes,$D46-2007,FALSE))</f>
        <v>0</v>
      </c>
      <c r="AU46">
        <f t="shared" si="58"/>
        <v>0</v>
      </c>
      <c r="AV46">
        <f>IFERROR(VLOOKUP(CONCATENATE(C46,"-px lingot"),negchutes,D46-2007,FALSE),0)*AM46</f>
        <v>0</v>
      </c>
      <c r="AW46">
        <f>AN46*VLOOKUP("Marché 1",pxlingot,D46-2010,FALSE)</f>
        <v>0</v>
      </c>
      <c r="AX46">
        <f t="shared" si="34"/>
        <v>0</v>
      </c>
      <c r="AY46" t="str">
        <f t="shared" si="59"/>
        <v>VAR</v>
      </c>
      <c r="AZ46">
        <f t="shared" si="60"/>
        <v>10.346174999999999</v>
      </c>
      <c r="BA46">
        <f>MAX(VLOOKUP(VLOOKUP(C46,descmarche,28,FALSE),pxlingot,D46-2010,FALSE),AX46)</f>
        <v>0</v>
      </c>
      <c r="BB46">
        <f t="shared" si="35"/>
        <v>0</v>
      </c>
      <c r="BC46" t="str">
        <f t="shared" si="61"/>
        <v>SO</v>
      </c>
    </row>
    <row r="47" spans="1:55" x14ac:dyDescent="0.25">
      <c r="A47" t="s">
        <v>16</v>
      </c>
      <c r="B47" s="4" t="s">
        <v>45</v>
      </c>
      <c r="C47" t="str">
        <f t="shared" si="63"/>
        <v>UKTMP-04</v>
      </c>
      <c r="D47">
        <v>2017</v>
      </c>
      <c r="E47">
        <v>200</v>
      </c>
      <c r="F47" t="str">
        <f t="shared" si="1"/>
        <v>Autres Avionneurs</v>
      </c>
      <c r="G47" t="str">
        <f t="shared" si="39"/>
        <v>Autres Structures source UKTMP</v>
      </c>
      <c r="H47">
        <f t="shared" si="40"/>
        <v>0</v>
      </c>
      <c r="I47">
        <f t="shared" si="41"/>
        <v>5</v>
      </c>
      <c r="J47">
        <f t="shared" si="42"/>
        <v>1210</v>
      </c>
      <c r="K47">
        <f t="shared" si="43"/>
        <v>200</v>
      </c>
      <c r="L47">
        <f t="shared" si="44"/>
        <v>242</v>
      </c>
      <c r="M47">
        <f t="shared" si="45"/>
        <v>10.499999999999998</v>
      </c>
      <c r="N47">
        <f t="shared" si="46"/>
        <v>11.549999999999999</v>
      </c>
      <c r="O47" t="str">
        <f t="shared" si="47"/>
        <v>Marché 1</v>
      </c>
      <c r="P47">
        <f>VLOOKUP(O47,pxmassif,D47-2010,FALSE)*M47</f>
        <v>131.24999999999997</v>
      </c>
      <c r="Q47">
        <f>VLOOKUP(O47,pxcopeau,D47-2010,FALSE)*N47</f>
        <v>86.624999999999986</v>
      </c>
      <c r="R47" t="str">
        <f t="shared" si="48"/>
        <v>SO</v>
      </c>
      <c r="S47">
        <f t="shared" si="49"/>
        <v>0</v>
      </c>
      <c r="T47">
        <f t="shared" si="50"/>
        <v>0</v>
      </c>
      <c r="U47" t="str">
        <f t="shared" si="51"/>
        <v>Marché 1</v>
      </c>
      <c r="V47">
        <f>VLOOKUP(U47,pxmassif,$D47-2010,FALSE)*S47</f>
        <v>0</v>
      </c>
      <c r="W47">
        <f>VLOOKUP(U47,pxcopeau,$D47-2010,FALSE)*T47</f>
        <v>0</v>
      </c>
      <c r="X47" t="str">
        <f t="shared" si="52"/>
        <v>SO</v>
      </c>
      <c r="Y47">
        <f t="shared" si="53"/>
        <v>0</v>
      </c>
      <c r="Z47">
        <f t="shared" si="54"/>
        <v>0</v>
      </c>
      <c r="AA47" t="str">
        <f t="shared" si="55"/>
        <v>Marché 1</v>
      </c>
      <c r="AB47">
        <f>VLOOKUP(AA47,pxmassif,$D47-2010,FALSE)*Y47</f>
        <v>0</v>
      </c>
      <c r="AC47">
        <f>VLOOKUP(AA47,pxcopeau,$D47-2010,FALSE)*Z47</f>
        <v>0</v>
      </c>
      <c r="AD47">
        <f t="shared" si="25"/>
        <v>10.499999999999998</v>
      </c>
      <c r="AE47">
        <f t="shared" si="26"/>
        <v>11.549999999999999</v>
      </c>
      <c r="AF47">
        <f t="shared" si="27"/>
        <v>22.049999999999997</v>
      </c>
      <c r="AG47">
        <f t="shared" si="28"/>
        <v>0</v>
      </c>
      <c r="AH47">
        <f t="shared" si="29"/>
        <v>0</v>
      </c>
      <c r="AI47">
        <f t="shared" si="30"/>
        <v>10.499999999999998</v>
      </c>
      <c r="AJ47">
        <f t="shared" si="31"/>
        <v>11.549999999999999</v>
      </c>
      <c r="AK47">
        <f t="shared" si="56"/>
        <v>20.692349999999998</v>
      </c>
      <c r="AL47">
        <f t="shared" si="57"/>
        <v>0</v>
      </c>
      <c r="AM47">
        <f>IFERROR(MIN(AL47,VLOOKUP(CONCATENATE(C47,"-to lingot"),negchutes,D47-2007,FALSE)),0)</f>
        <v>0</v>
      </c>
      <c r="AN47">
        <f t="shared" si="32"/>
        <v>0</v>
      </c>
      <c r="AO47" t="str">
        <f t="shared" si="62"/>
        <v>SO</v>
      </c>
      <c r="AP47">
        <f>IF(AR47=0,0,IFERROR(VLOOKUP(CONCATENATE($C47,"-to massif"),negchutes,$D47-2007,FALSE),0)*AM47/AR47)</f>
        <v>0</v>
      </c>
      <c r="AQ47">
        <f>IF(AR47=0,0,IFERROR(VLOOKUP(CONCATENATE($C47,"-to copeaux"),negchutes,$D47-2007,FALSE),0)*AM47/AR47)</f>
        <v>0</v>
      </c>
      <c r="AR47">
        <f>IFERROR(VLOOKUP(CONCATENATE($C47,"-to lingot"),negchutes,$D47-2007,FALSE),0)</f>
        <v>0</v>
      </c>
      <c r="AS47">
        <f>IF(AR47=0,0,AP47*VLOOKUP(CONCATENATE($C47,"-ac massif"),negchutes,$D47-2007,FALSE))</f>
        <v>0</v>
      </c>
      <c r="AT47">
        <f>IF(AR47=0,0,AQ47*VLOOKUP(CONCATENATE($C47,"-ac copeaux"),negchutes,$D47-2007,FALSE))</f>
        <v>0</v>
      </c>
      <c r="AU47">
        <f t="shared" si="58"/>
        <v>0</v>
      </c>
      <c r="AV47">
        <f>IFERROR(VLOOKUP(CONCATENATE(C47,"-px lingot"),negchutes,D47-2007,FALSE),0)*AM47</f>
        <v>0</v>
      </c>
      <c r="AW47">
        <f>AN47*VLOOKUP("Marché 1",pxlingot,D47-2010,FALSE)</f>
        <v>0</v>
      </c>
      <c r="AX47">
        <f t="shared" si="34"/>
        <v>0</v>
      </c>
      <c r="AY47" t="str">
        <f t="shared" si="59"/>
        <v>VAR</v>
      </c>
      <c r="AZ47">
        <f t="shared" si="60"/>
        <v>20.692349999999998</v>
      </c>
      <c r="BA47">
        <f>MAX(VLOOKUP(VLOOKUP(C47,descmarche,28,FALSE),pxlingot,D47-2010,FALSE),AX47)</f>
        <v>0</v>
      </c>
      <c r="BB47">
        <f t="shared" si="35"/>
        <v>0</v>
      </c>
      <c r="BC47" t="str">
        <f t="shared" si="61"/>
        <v>SO</v>
      </c>
    </row>
    <row r="48" spans="1:55" x14ac:dyDescent="0.25">
      <c r="A48" t="s">
        <v>16</v>
      </c>
      <c r="B48" s="4" t="s">
        <v>45</v>
      </c>
      <c r="C48" t="str">
        <f t="shared" si="63"/>
        <v>UKTMP-04</v>
      </c>
      <c r="D48">
        <v>2018</v>
      </c>
      <c r="E48">
        <v>200</v>
      </c>
      <c r="F48" t="str">
        <f t="shared" si="1"/>
        <v>Autres Avionneurs</v>
      </c>
      <c r="G48" t="str">
        <f t="shared" si="39"/>
        <v>Autres Structures source UKTMP</v>
      </c>
      <c r="H48">
        <f t="shared" si="40"/>
        <v>0</v>
      </c>
      <c r="I48">
        <f t="shared" si="41"/>
        <v>5</v>
      </c>
      <c r="J48">
        <f t="shared" si="42"/>
        <v>1210</v>
      </c>
      <c r="K48">
        <f t="shared" si="43"/>
        <v>200</v>
      </c>
      <c r="L48">
        <f t="shared" si="44"/>
        <v>242</v>
      </c>
      <c r="M48">
        <f t="shared" si="45"/>
        <v>10.499999999999998</v>
      </c>
      <c r="N48">
        <f t="shared" si="46"/>
        <v>11.549999999999999</v>
      </c>
      <c r="O48" t="str">
        <f t="shared" si="47"/>
        <v>Marché 1</v>
      </c>
      <c r="P48">
        <f>VLOOKUP(O48,pxmassif,D48-2010,FALSE)*M48</f>
        <v>131.24999999999997</v>
      </c>
      <c r="Q48">
        <f>VLOOKUP(O48,pxcopeau,D48-2010,FALSE)*N48</f>
        <v>86.624999999999986</v>
      </c>
      <c r="R48" t="str">
        <f t="shared" si="48"/>
        <v>SO</v>
      </c>
      <c r="S48">
        <f t="shared" si="49"/>
        <v>0</v>
      </c>
      <c r="T48">
        <f t="shared" si="50"/>
        <v>0</v>
      </c>
      <c r="U48" t="str">
        <f t="shared" si="51"/>
        <v>Marché 1</v>
      </c>
      <c r="V48">
        <f>VLOOKUP(U48,pxmassif,$D48-2010,FALSE)*S48</f>
        <v>0</v>
      </c>
      <c r="W48">
        <f>VLOOKUP(U48,pxcopeau,$D48-2010,FALSE)*T48</f>
        <v>0</v>
      </c>
      <c r="X48" t="str">
        <f t="shared" si="52"/>
        <v>SO</v>
      </c>
      <c r="Y48">
        <f t="shared" si="53"/>
        <v>0</v>
      </c>
      <c r="Z48">
        <f t="shared" si="54"/>
        <v>0</v>
      </c>
      <c r="AA48" t="str">
        <f t="shared" si="55"/>
        <v>Marché 1</v>
      </c>
      <c r="AB48">
        <f>VLOOKUP(AA48,pxmassif,$D48-2010,FALSE)*Y48</f>
        <v>0</v>
      </c>
      <c r="AC48">
        <f>VLOOKUP(AA48,pxcopeau,$D48-2010,FALSE)*Z48</f>
        <v>0</v>
      </c>
      <c r="AD48">
        <f t="shared" si="25"/>
        <v>10.499999999999998</v>
      </c>
      <c r="AE48">
        <f t="shared" si="26"/>
        <v>11.549999999999999</v>
      </c>
      <c r="AF48">
        <f t="shared" si="27"/>
        <v>22.049999999999997</v>
      </c>
      <c r="AG48">
        <f t="shared" si="28"/>
        <v>0</v>
      </c>
      <c r="AH48">
        <f t="shared" si="29"/>
        <v>0</v>
      </c>
      <c r="AI48">
        <f t="shared" si="30"/>
        <v>10.499999999999998</v>
      </c>
      <c r="AJ48">
        <f t="shared" si="31"/>
        <v>11.549999999999999</v>
      </c>
      <c r="AK48">
        <f t="shared" si="56"/>
        <v>20.692349999999998</v>
      </c>
      <c r="AL48">
        <f t="shared" si="57"/>
        <v>0</v>
      </c>
      <c r="AM48">
        <f>IFERROR(MIN(AL48,VLOOKUP(CONCATENATE(C48,"-to lingot"),negchutes,D48-2007,FALSE)),0)</f>
        <v>0</v>
      </c>
      <c r="AN48">
        <f t="shared" si="32"/>
        <v>0</v>
      </c>
      <c r="AO48" t="str">
        <f t="shared" si="62"/>
        <v>SO</v>
      </c>
      <c r="AP48">
        <f>IF(AR48=0,0,IFERROR(VLOOKUP(CONCATENATE($C48,"-to massif"),negchutes,$D48-2007,FALSE),0)*AM48/AR48)</f>
        <v>0</v>
      </c>
      <c r="AQ48">
        <f>IF(AR48=0,0,IFERROR(VLOOKUP(CONCATENATE($C48,"-to copeaux"),negchutes,$D48-2007,FALSE),0)*AM48/AR48)</f>
        <v>0</v>
      </c>
      <c r="AR48">
        <f>IFERROR(VLOOKUP(CONCATENATE($C48,"-to lingot"),negchutes,$D48-2007,FALSE),0)</f>
        <v>0</v>
      </c>
      <c r="AS48">
        <f>IF(AR48=0,0,AP48*VLOOKUP(CONCATENATE($C48,"-ac massif"),negchutes,$D48-2007,FALSE))</f>
        <v>0</v>
      </c>
      <c r="AT48">
        <f>IF(AR48=0,0,AQ48*VLOOKUP(CONCATENATE($C48,"-ac copeaux"),negchutes,$D48-2007,FALSE))</f>
        <v>0</v>
      </c>
      <c r="AU48">
        <f t="shared" si="58"/>
        <v>0</v>
      </c>
      <c r="AV48">
        <f>IFERROR(VLOOKUP(CONCATENATE(C48,"-px lingot"),negchutes,D48-2007,FALSE),0)*AM48</f>
        <v>0</v>
      </c>
      <c r="AW48">
        <f>AN48*VLOOKUP("Marché 1",pxlingot,D48-2010,FALSE)</f>
        <v>0</v>
      </c>
      <c r="AX48">
        <f t="shared" si="34"/>
        <v>0</v>
      </c>
      <c r="AY48" t="str">
        <f t="shared" si="59"/>
        <v>VAR</v>
      </c>
      <c r="AZ48">
        <f t="shared" si="60"/>
        <v>20.692349999999998</v>
      </c>
      <c r="BA48">
        <f>MAX(VLOOKUP(VLOOKUP(C48,descmarche,28,FALSE),pxlingot,D48-2010,FALSE),AX48)</f>
        <v>0</v>
      </c>
      <c r="BB48">
        <f t="shared" si="35"/>
        <v>0</v>
      </c>
      <c r="BC48" t="str">
        <f t="shared" si="61"/>
        <v>SO</v>
      </c>
    </row>
    <row r="49" spans="1:55" x14ac:dyDescent="0.25">
      <c r="A49" t="s">
        <v>16</v>
      </c>
      <c r="B49" s="4" t="s">
        <v>45</v>
      </c>
      <c r="C49" t="str">
        <f t="shared" si="63"/>
        <v>UKTMP-04</v>
      </c>
      <c r="D49">
        <v>2019</v>
      </c>
      <c r="E49">
        <v>500</v>
      </c>
      <c r="F49" t="str">
        <f t="shared" si="1"/>
        <v>Autres Avionneurs</v>
      </c>
      <c r="G49" t="str">
        <f t="shared" si="39"/>
        <v>Autres Structures source UKTMP</v>
      </c>
      <c r="H49">
        <f t="shared" si="40"/>
        <v>0</v>
      </c>
      <c r="I49">
        <f t="shared" si="41"/>
        <v>5</v>
      </c>
      <c r="J49">
        <f t="shared" si="42"/>
        <v>1210</v>
      </c>
      <c r="K49">
        <f t="shared" si="43"/>
        <v>500</v>
      </c>
      <c r="L49">
        <f t="shared" si="44"/>
        <v>605</v>
      </c>
      <c r="M49">
        <f t="shared" si="45"/>
        <v>26.249999999999996</v>
      </c>
      <c r="N49">
        <f t="shared" si="46"/>
        <v>28.874999999999996</v>
      </c>
      <c r="O49" t="str">
        <f t="shared" si="47"/>
        <v>Marché 1</v>
      </c>
      <c r="P49">
        <f>VLOOKUP(O49,pxmassif,D49-2010,FALSE)*M49</f>
        <v>328.12499999999994</v>
      </c>
      <c r="Q49">
        <f>VLOOKUP(O49,pxcopeau,D49-2010,FALSE)*N49</f>
        <v>216.56249999999997</v>
      </c>
      <c r="R49" t="str">
        <f t="shared" si="48"/>
        <v>SO</v>
      </c>
      <c r="S49">
        <f t="shared" si="49"/>
        <v>0</v>
      </c>
      <c r="T49">
        <f t="shared" si="50"/>
        <v>0</v>
      </c>
      <c r="U49" t="str">
        <f t="shared" si="51"/>
        <v>Marché 1</v>
      </c>
      <c r="V49">
        <f>VLOOKUP(U49,pxmassif,$D49-2010,FALSE)*S49</f>
        <v>0</v>
      </c>
      <c r="W49">
        <f>VLOOKUP(U49,pxcopeau,$D49-2010,FALSE)*T49</f>
        <v>0</v>
      </c>
      <c r="X49" t="str">
        <f t="shared" si="52"/>
        <v>SO</v>
      </c>
      <c r="Y49">
        <f t="shared" si="53"/>
        <v>0</v>
      </c>
      <c r="Z49">
        <f t="shared" si="54"/>
        <v>0</v>
      </c>
      <c r="AA49" t="str">
        <f t="shared" si="55"/>
        <v>Marché 1</v>
      </c>
      <c r="AB49">
        <f>VLOOKUP(AA49,pxmassif,$D49-2010,FALSE)*Y49</f>
        <v>0</v>
      </c>
      <c r="AC49">
        <f>VLOOKUP(AA49,pxcopeau,$D49-2010,FALSE)*Z49</f>
        <v>0</v>
      </c>
      <c r="AD49">
        <f t="shared" si="25"/>
        <v>26.249999999999996</v>
      </c>
      <c r="AE49">
        <f t="shared" si="26"/>
        <v>28.874999999999996</v>
      </c>
      <c r="AF49">
        <f t="shared" si="27"/>
        <v>55.124999999999993</v>
      </c>
      <c r="AG49">
        <f t="shared" si="28"/>
        <v>0</v>
      </c>
      <c r="AH49">
        <f t="shared" si="29"/>
        <v>0</v>
      </c>
      <c r="AI49">
        <f t="shared" si="30"/>
        <v>26.249999999999996</v>
      </c>
      <c r="AJ49">
        <f t="shared" si="31"/>
        <v>28.874999999999996</v>
      </c>
      <c r="AK49">
        <f t="shared" si="56"/>
        <v>51.730874999999997</v>
      </c>
      <c r="AL49">
        <f t="shared" si="57"/>
        <v>0</v>
      </c>
      <c r="AM49">
        <f>IFERROR(MIN(AL49,VLOOKUP(CONCATENATE(C49,"-to lingot"),negchutes,D49-2007,FALSE)),0)</f>
        <v>0</v>
      </c>
      <c r="AN49">
        <f t="shared" si="32"/>
        <v>0</v>
      </c>
      <c r="AO49" t="str">
        <f t="shared" si="62"/>
        <v>SO</v>
      </c>
      <c r="AP49">
        <f>IF(AR49=0,0,IFERROR(VLOOKUP(CONCATENATE($C49,"-to massif"),negchutes,$D49-2007,FALSE),0)*AM49/AR49)</f>
        <v>0</v>
      </c>
      <c r="AQ49">
        <f>IF(AR49=0,0,IFERROR(VLOOKUP(CONCATENATE($C49,"-to copeaux"),negchutes,$D49-2007,FALSE),0)*AM49/AR49)</f>
        <v>0</v>
      </c>
      <c r="AR49">
        <f>IFERROR(VLOOKUP(CONCATENATE($C49,"-to lingot"),negchutes,$D49-2007,FALSE),0)</f>
        <v>0</v>
      </c>
      <c r="AS49">
        <f>IF(AR49=0,0,AP49*VLOOKUP(CONCATENATE($C49,"-ac massif"),negchutes,$D49-2007,FALSE))</f>
        <v>0</v>
      </c>
      <c r="AT49">
        <f>IF(AR49=0,0,AQ49*VLOOKUP(CONCATENATE($C49,"-ac copeaux"),negchutes,$D49-2007,FALSE))</f>
        <v>0</v>
      </c>
      <c r="AU49">
        <f t="shared" si="58"/>
        <v>0</v>
      </c>
      <c r="AV49">
        <f>IFERROR(VLOOKUP(CONCATENATE(C49,"-px lingot"),negchutes,D49-2007,FALSE),0)*AM49</f>
        <v>0</v>
      </c>
      <c r="AW49">
        <f>AN49*VLOOKUP("Marché 1",pxlingot,D49-2010,FALSE)</f>
        <v>0</v>
      </c>
      <c r="AX49">
        <f t="shared" si="34"/>
        <v>0</v>
      </c>
      <c r="AY49" t="str">
        <f t="shared" si="59"/>
        <v>VAR</v>
      </c>
      <c r="AZ49">
        <f t="shared" si="60"/>
        <v>51.730874999999997</v>
      </c>
      <c r="BA49">
        <f>MAX(VLOOKUP(VLOOKUP(C49,descmarche,28,FALSE),pxlingot,D49-2010,FALSE),AX49)</f>
        <v>0</v>
      </c>
      <c r="BB49">
        <f t="shared" si="35"/>
        <v>0</v>
      </c>
      <c r="BC49" t="str">
        <f t="shared" si="61"/>
        <v>SO</v>
      </c>
    </row>
    <row r="50" spans="1:55" x14ac:dyDescent="0.25">
      <c r="A50" t="s">
        <v>16</v>
      </c>
      <c r="B50" s="4" t="s">
        <v>45</v>
      </c>
      <c r="C50" t="str">
        <f t="shared" si="63"/>
        <v>UKTMP-04</v>
      </c>
      <c r="D50">
        <v>2020</v>
      </c>
      <c r="E50">
        <v>500</v>
      </c>
      <c r="F50" t="str">
        <f t="shared" si="1"/>
        <v>Autres Avionneurs</v>
      </c>
      <c r="G50" t="str">
        <f t="shared" si="39"/>
        <v>Autres Structures source UKTMP</v>
      </c>
      <c r="H50">
        <f t="shared" si="40"/>
        <v>0</v>
      </c>
      <c r="I50">
        <f t="shared" si="41"/>
        <v>5</v>
      </c>
      <c r="J50">
        <f t="shared" si="42"/>
        <v>1210</v>
      </c>
      <c r="K50">
        <f t="shared" si="43"/>
        <v>500</v>
      </c>
      <c r="L50">
        <f t="shared" si="44"/>
        <v>605</v>
      </c>
      <c r="M50">
        <f t="shared" si="45"/>
        <v>26.249999999999996</v>
      </c>
      <c r="N50">
        <f t="shared" si="46"/>
        <v>28.874999999999996</v>
      </c>
      <c r="O50" t="str">
        <f t="shared" si="47"/>
        <v>Marché 1</v>
      </c>
      <c r="P50">
        <f>VLOOKUP(O50,pxmassif,D50-2010,FALSE)*M50</f>
        <v>328.12499999999994</v>
      </c>
      <c r="Q50">
        <f>VLOOKUP(O50,pxcopeau,D50-2010,FALSE)*N50</f>
        <v>216.56249999999997</v>
      </c>
      <c r="R50" t="str">
        <f t="shared" si="48"/>
        <v>SO</v>
      </c>
      <c r="S50">
        <f t="shared" si="49"/>
        <v>0</v>
      </c>
      <c r="T50">
        <f t="shared" si="50"/>
        <v>0</v>
      </c>
      <c r="U50" t="str">
        <f t="shared" si="51"/>
        <v>Marché 1</v>
      </c>
      <c r="V50">
        <f>VLOOKUP(U50,pxmassif,$D50-2010,FALSE)*S50</f>
        <v>0</v>
      </c>
      <c r="W50">
        <f>VLOOKUP(U50,pxcopeau,$D50-2010,FALSE)*T50</f>
        <v>0</v>
      </c>
      <c r="X50" t="str">
        <f t="shared" si="52"/>
        <v>SO</v>
      </c>
      <c r="Y50">
        <f t="shared" si="53"/>
        <v>0</v>
      </c>
      <c r="Z50">
        <f t="shared" si="54"/>
        <v>0</v>
      </c>
      <c r="AA50" t="str">
        <f t="shared" si="55"/>
        <v>Marché 1</v>
      </c>
      <c r="AB50">
        <f>VLOOKUP(AA50,pxmassif,$D50-2010,FALSE)*Y50</f>
        <v>0</v>
      </c>
      <c r="AC50">
        <f>VLOOKUP(AA50,pxcopeau,$D50-2010,FALSE)*Z50</f>
        <v>0</v>
      </c>
      <c r="AD50">
        <f t="shared" si="25"/>
        <v>26.249999999999996</v>
      </c>
      <c r="AE50">
        <f t="shared" si="26"/>
        <v>28.874999999999996</v>
      </c>
      <c r="AF50">
        <f t="shared" si="27"/>
        <v>55.124999999999993</v>
      </c>
      <c r="AG50">
        <f t="shared" si="28"/>
        <v>0</v>
      </c>
      <c r="AH50">
        <f t="shared" si="29"/>
        <v>0</v>
      </c>
      <c r="AI50">
        <f t="shared" si="30"/>
        <v>26.249999999999996</v>
      </c>
      <c r="AJ50">
        <f t="shared" si="31"/>
        <v>28.874999999999996</v>
      </c>
      <c r="AK50">
        <f t="shared" si="56"/>
        <v>51.730874999999997</v>
      </c>
      <c r="AL50">
        <f t="shared" si="57"/>
        <v>0</v>
      </c>
      <c r="AM50">
        <f>IFERROR(MIN(AL50,VLOOKUP(CONCATENATE(C50,"-to lingot"),negchutes,D50-2007,FALSE)),0)</f>
        <v>0</v>
      </c>
      <c r="AN50">
        <f t="shared" si="32"/>
        <v>0</v>
      </c>
      <c r="AO50" t="str">
        <f t="shared" si="62"/>
        <v>SO</v>
      </c>
      <c r="AP50">
        <f>IF(AR50=0,0,IFERROR(VLOOKUP(CONCATENATE($C50,"-to massif"),negchutes,$D50-2007,FALSE),0)*AM50/AR50)</f>
        <v>0</v>
      </c>
      <c r="AQ50">
        <f>IF(AR50=0,0,IFERROR(VLOOKUP(CONCATENATE($C50,"-to copeaux"),negchutes,$D50-2007,FALSE),0)*AM50/AR50)</f>
        <v>0</v>
      </c>
      <c r="AR50">
        <f>IFERROR(VLOOKUP(CONCATENATE($C50,"-to lingot"),negchutes,$D50-2007,FALSE),0)</f>
        <v>0</v>
      </c>
      <c r="AS50">
        <f>IF(AR50=0,0,AP50*VLOOKUP(CONCATENATE($C50,"-ac massif"),negchutes,$D50-2007,FALSE))</f>
        <v>0</v>
      </c>
      <c r="AT50">
        <f>IF(AR50=0,0,AQ50*VLOOKUP(CONCATENATE($C50,"-ac copeaux"),negchutes,$D50-2007,FALSE))</f>
        <v>0</v>
      </c>
      <c r="AU50">
        <f t="shared" si="58"/>
        <v>0</v>
      </c>
      <c r="AV50">
        <f>IFERROR(VLOOKUP(CONCATENATE(C50,"-px lingot"),negchutes,D50-2007,FALSE),0)*AM50</f>
        <v>0</v>
      </c>
      <c r="AW50">
        <f>AN50*VLOOKUP("Marché 1",pxlingot,D50-2010,FALSE)</f>
        <v>0</v>
      </c>
      <c r="AX50">
        <f t="shared" si="34"/>
        <v>0</v>
      </c>
      <c r="AY50" t="str">
        <f t="shared" si="59"/>
        <v>VAR</v>
      </c>
      <c r="AZ50">
        <f t="shared" si="60"/>
        <v>51.730874999999997</v>
      </c>
      <c r="BA50">
        <f>MAX(VLOOKUP(VLOOKUP(C50,descmarche,28,FALSE),pxlingot,D50-2010,FALSE),AX50)</f>
        <v>0</v>
      </c>
      <c r="BB50">
        <f t="shared" si="35"/>
        <v>0</v>
      </c>
      <c r="BC50" t="str">
        <f t="shared" si="61"/>
        <v>SO</v>
      </c>
    </row>
    <row r="51" spans="1:55" x14ac:dyDescent="0.25">
      <c r="A51" t="s">
        <v>16</v>
      </c>
      <c r="B51" s="4" t="s">
        <v>45</v>
      </c>
      <c r="C51" t="str">
        <f t="shared" si="63"/>
        <v>UKTMP-04</v>
      </c>
      <c r="D51">
        <v>2021</v>
      </c>
      <c r="E51">
        <v>500</v>
      </c>
      <c r="F51" t="str">
        <f t="shared" si="1"/>
        <v>Autres Avionneurs</v>
      </c>
      <c r="G51" t="str">
        <f t="shared" si="39"/>
        <v>Autres Structures source UKTMP</v>
      </c>
      <c r="H51">
        <f t="shared" si="40"/>
        <v>0</v>
      </c>
      <c r="I51">
        <f t="shared" si="41"/>
        <v>5</v>
      </c>
      <c r="J51">
        <f t="shared" si="42"/>
        <v>1210</v>
      </c>
      <c r="K51">
        <f t="shared" si="43"/>
        <v>500</v>
      </c>
      <c r="L51">
        <f t="shared" si="44"/>
        <v>605</v>
      </c>
      <c r="M51">
        <f t="shared" si="45"/>
        <v>26.249999999999996</v>
      </c>
      <c r="N51">
        <f t="shared" si="46"/>
        <v>28.874999999999996</v>
      </c>
      <c r="O51" t="str">
        <f t="shared" si="47"/>
        <v>Marché 1</v>
      </c>
      <c r="P51">
        <f>VLOOKUP(O51,pxmassif,D51-2010,FALSE)*M51</f>
        <v>328.12499999999994</v>
      </c>
      <c r="Q51">
        <f>VLOOKUP(O51,pxcopeau,D51-2010,FALSE)*N51</f>
        <v>216.56249999999997</v>
      </c>
      <c r="R51" t="str">
        <f t="shared" si="48"/>
        <v>SO</v>
      </c>
      <c r="S51">
        <f t="shared" si="49"/>
        <v>0</v>
      </c>
      <c r="T51">
        <f t="shared" si="50"/>
        <v>0</v>
      </c>
      <c r="U51" t="str">
        <f t="shared" si="51"/>
        <v>Marché 1</v>
      </c>
      <c r="V51">
        <f>VLOOKUP(U51,pxmassif,$D51-2010,FALSE)*S51</f>
        <v>0</v>
      </c>
      <c r="W51">
        <f>VLOOKUP(U51,pxcopeau,$D51-2010,FALSE)*T51</f>
        <v>0</v>
      </c>
      <c r="X51" t="str">
        <f t="shared" si="52"/>
        <v>SO</v>
      </c>
      <c r="Y51">
        <f t="shared" si="53"/>
        <v>0</v>
      </c>
      <c r="Z51">
        <f t="shared" si="54"/>
        <v>0</v>
      </c>
      <c r="AA51" t="str">
        <f t="shared" si="55"/>
        <v>Marché 1</v>
      </c>
      <c r="AB51">
        <f>VLOOKUP(AA51,pxmassif,$D51-2010,FALSE)*Y51</f>
        <v>0</v>
      </c>
      <c r="AC51">
        <f>VLOOKUP(AA51,pxcopeau,$D51-2010,FALSE)*Z51</f>
        <v>0</v>
      </c>
      <c r="AD51">
        <f t="shared" si="25"/>
        <v>26.249999999999996</v>
      </c>
      <c r="AE51">
        <f t="shared" si="26"/>
        <v>28.874999999999996</v>
      </c>
      <c r="AF51">
        <f t="shared" si="27"/>
        <v>55.124999999999993</v>
      </c>
      <c r="AG51">
        <f t="shared" si="28"/>
        <v>0</v>
      </c>
      <c r="AH51">
        <f t="shared" si="29"/>
        <v>0</v>
      </c>
      <c r="AI51">
        <f t="shared" si="30"/>
        <v>26.249999999999996</v>
      </c>
      <c r="AJ51">
        <f t="shared" si="31"/>
        <v>28.874999999999996</v>
      </c>
      <c r="AK51">
        <f t="shared" si="56"/>
        <v>51.730874999999997</v>
      </c>
      <c r="AL51">
        <f t="shared" si="57"/>
        <v>0</v>
      </c>
      <c r="AM51">
        <f>IFERROR(MIN(AL51,VLOOKUP(CONCATENATE(C51,"-to lingot"),negchutes,D51-2007,FALSE)),0)</f>
        <v>0</v>
      </c>
      <c r="AN51">
        <f t="shared" si="32"/>
        <v>0</v>
      </c>
      <c r="AO51" t="str">
        <f t="shared" si="62"/>
        <v>SO</v>
      </c>
      <c r="AP51">
        <f>IF(AR51=0,0,IFERROR(VLOOKUP(CONCATENATE($C51,"-to massif"),negchutes,$D51-2007,FALSE),0)*AM51/AR51)</f>
        <v>0</v>
      </c>
      <c r="AQ51">
        <f>IF(AR51=0,0,IFERROR(VLOOKUP(CONCATENATE($C51,"-to copeaux"),negchutes,$D51-2007,FALSE),0)*AM51/AR51)</f>
        <v>0</v>
      </c>
      <c r="AR51">
        <f>IFERROR(VLOOKUP(CONCATENATE($C51,"-to lingot"),negchutes,$D51-2007,FALSE),0)</f>
        <v>0</v>
      </c>
      <c r="AS51">
        <f>IF(AR51=0,0,AP51*VLOOKUP(CONCATENATE($C51,"-ac massif"),negchutes,$D51-2007,FALSE))</f>
        <v>0</v>
      </c>
      <c r="AT51">
        <f>IF(AR51=0,0,AQ51*VLOOKUP(CONCATENATE($C51,"-ac copeaux"),negchutes,$D51-2007,FALSE))</f>
        <v>0</v>
      </c>
      <c r="AU51">
        <f t="shared" si="58"/>
        <v>0</v>
      </c>
      <c r="AV51">
        <f>IFERROR(VLOOKUP(CONCATENATE(C51,"-px lingot"),negchutes,D51-2007,FALSE),0)*AM51</f>
        <v>0</v>
      </c>
      <c r="AW51">
        <f>AN51*VLOOKUP("Marché 1",pxlingot,D51-2010,FALSE)</f>
        <v>0</v>
      </c>
      <c r="AX51">
        <f t="shared" si="34"/>
        <v>0</v>
      </c>
      <c r="AY51" t="str">
        <f t="shared" si="59"/>
        <v>VAR</v>
      </c>
      <c r="AZ51">
        <f t="shared" si="60"/>
        <v>51.730874999999997</v>
      </c>
      <c r="BA51">
        <f>MAX(VLOOKUP(VLOOKUP(C51,descmarche,28,FALSE),pxlingot,D51-2010,FALSE),AX51)</f>
        <v>0</v>
      </c>
      <c r="BB51">
        <f t="shared" si="35"/>
        <v>0</v>
      </c>
      <c r="BC51" t="str">
        <f t="shared" si="61"/>
        <v>SO</v>
      </c>
    </row>
    <row r="52" spans="1:55" x14ac:dyDescent="0.25">
      <c r="A52" t="s">
        <v>16</v>
      </c>
      <c r="B52" s="4" t="s">
        <v>45</v>
      </c>
      <c r="C52" t="str">
        <f t="shared" si="63"/>
        <v>UKTMP-04</v>
      </c>
      <c r="D52">
        <v>2022</v>
      </c>
      <c r="E52">
        <v>500</v>
      </c>
      <c r="F52" t="str">
        <f t="shared" si="1"/>
        <v>Autres Avionneurs</v>
      </c>
      <c r="G52" t="str">
        <f t="shared" si="39"/>
        <v>Autres Structures source UKTMP</v>
      </c>
      <c r="H52">
        <f t="shared" si="40"/>
        <v>0</v>
      </c>
      <c r="I52">
        <f t="shared" si="41"/>
        <v>5</v>
      </c>
      <c r="J52">
        <f t="shared" si="42"/>
        <v>1210</v>
      </c>
      <c r="K52">
        <f t="shared" si="43"/>
        <v>500</v>
      </c>
      <c r="L52">
        <f t="shared" si="44"/>
        <v>605</v>
      </c>
      <c r="M52">
        <f t="shared" si="45"/>
        <v>26.249999999999996</v>
      </c>
      <c r="N52">
        <f t="shared" si="46"/>
        <v>28.874999999999996</v>
      </c>
      <c r="O52" t="str">
        <f t="shared" si="47"/>
        <v>Marché 1</v>
      </c>
      <c r="P52">
        <f>VLOOKUP(O52,pxmassif,D52-2010,FALSE)*M52</f>
        <v>328.12499999999994</v>
      </c>
      <c r="Q52">
        <f>VLOOKUP(O52,pxcopeau,D52-2010,FALSE)*N52</f>
        <v>216.56249999999997</v>
      </c>
      <c r="R52" t="str">
        <f t="shared" si="48"/>
        <v>SO</v>
      </c>
      <c r="S52">
        <f t="shared" si="49"/>
        <v>0</v>
      </c>
      <c r="T52">
        <f t="shared" si="50"/>
        <v>0</v>
      </c>
      <c r="U52" t="str">
        <f t="shared" si="51"/>
        <v>Marché 1</v>
      </c>
      <c r="V52">
        <f>VLOOKUP(U52,pxmassif,$D52-2010,FALSE)*S52</f>
        <v>0</v>
      </c>
      <c r="W52">
        <f>VLOOKUP(U52,pxcopeau,$D52-2010,FALSE)*T52</f>
        <v>0</v>
      </c>
      <c r="X52" t="str">
        <f t="shared" si="52"/>
        <v>SO</v>
      </c>
      <c r="Y52">
        <f t="shared" si="53"/>
        <v>0</v>
      </c>
      <c r="Z52">
        <f t="shared" si="54"/>
        <v>0</v>
      </c>
      <c r="AA52" t="str">
        <f t="shared" si="55"/>
        <v>Marché 1</v>
      </c>
      <c r="AB52">
        <f>VLOOKUP(AA52,pxmassif,$D52-2010,FALSE)*Y52</f>
        <v>0</v>
      </c>
      <c r="AC52">
        <f>VLOOKUP(AA52,pxcopeau,$D52-2010,FALSE)*Z52</f>
        <v>0</v>
      </c>
      <c r="AD52">
        <f t="shared" si="25"/>
        <v>26.249999999999996</v>
      </c>
      <c r="AE52">
        <f t="shared" si="26"/>
        <v>28.874999999999996</v>
      </c>
      <c r="AF52">
        <f t="shared" si="27"/>
        <v>55.124999999999993</v>
      </c>
      <c r="AG52">
        <f t="shared" si="28"/>
        <v>0</v>
      </c>
      <c r="AH52">
        <f t="shared" si="29"/>
        <v>0</v>
      </c>
      <c r="AI52">
        <f t="shared" si="30"/>
        <v>26.249999999999996</v>
      </c>
      <c r="AJ52">
        <f t="shared" si="31"/>
        <v>28.874999999999996</v>
      </c>
      <c r="AK52">
        <f t="shared" si="56"/>
        <v>51.730874999999997</v>
      </c>
      <c r="AL52">
        <f t="shared" si="57"/>
        <v>0</v>
      </c>
      <c r="AM52">
        <f>IFERROR(MIN(AL52,VLOOKUP(CONCATENATE(C52,"-to lingot"),negchutes,D52-2007,FALSE)),0)</f>
        <v>0</v>
      </c>
      <c r="AN52">
        <f t="shared" si="32"/>
        <v>0</v>
      </c>
      <c r="AO52" t="str">
        <f t="shared" si="62"/>
        <v>SO</v>
      </c>
      <c r="AP52">
        <f>IF(AR52=0,0,IFERROR(VLOOKUP(CONCATENATE($C52,"-to massif"),negchutes,$D52-2007,FALSE),0)*AM52/AR52)</f>
        <v>0</v>
      </c>
      <c r="AQ52">
        <f>IF(AR52=0,0,IFERROR(VLOOKUP(CONCATENATE($C52,"-to copeaux"),negchutes,$D52-2007,FALSE),0)*AM52/AR52)</f>
        <v>0</v>
      </c>
      <c r="AR52">
        <f>IFERROR(VLOOKUP(CONCATENATE($C52,"-to lingot"),negchutes,$D52-2007,FALSE),0)</f>
        <v>0</v>
      </c>
      <c r="AS52">
        <f>IF(AR52=0,0,AP52*VLOOKUP(CONCATENATE($C52,"-ac massif"),negchutes,$D52-2007,FALSE))</f>
        <v>0</v>
      </c>
      <c r="AT52">
        <f>IF(AR52=0,0,AQ52*VLOOKUP(CONCATENATE($C52,"-ac copeaux"),negchutes,$D52-2007,FALSE))</f>
        <v>0</v>
      </c>
      <c r="AU52">
        <f t="shared" si="58"/>
        <v>0</v>
      </c>
      <c r="AV52">
        <f>IFERROR(VLOOKUP(CONCATENATE(C52,"-px lingot"),negchutes,D52-2007,FALSE),0)*AM52</f>
        <v>0</v>
      </c>
      <c r="AW52">
        <f>AN52*VLOOKUP("Marché 1",pxlingot,D52-2010,FALSE)</f>
        <v>0</v>
      </c>
      <c r="AX52">
        <f t="shared" si="34"/>
        <v>0</v>
      </c>
      <c r="AY52" t="str">
        <f t="shared" si="59"/>
        <v>VAR</v>
      </c>
      <c r="AZ52">
        <f t="shared" si="60"/>
        <v>51.730874999999997</v>
      </c>
      <c r="BA52">
        <f>MAX(VLOOKUP(VLOOKUP(C52,descmarche,28,FALSE),pxlingot,D52-2010,FALSE),AX52)</f>
        <v>0</v>
      </c>
      <c r="BB52">
        <f t="shared" si="35"/>
        <v>0</v>
      </c>
      <c r="BC52" t="str">
        <f t="shared" si="61"/>
        <v>SO</v>
      </c>
    </row>
    <row r="53" spans="1:55" x14ac:dyDescent="0.25">
      <c r="A53" t="s">
        <v>16</v>
      </c>
      <c r="B53" s="4" t="s">
        <v>45</v>
      </c>
      <c r="C53" t="str">
        <f t="shared" si="63"/>
        <v>UKTMP-04</v>
      </c>
      <c r="D53">
        <v>2023</v>
      </c>
      <c r="E53">
        <v>500</v>
      </c>
      <c r="F53" t="str">
        <f t="shared" si="1"/>
        <v>Autres Avionneurs</v>
      </c>
      <c r="G53" t="str">
        <f t="shared" si="39"/>
        <v>Autres Structures source UKTMP</v>
      </c>
      <c r="H53">
        <f t="shared" si="40"/>
        <v>0</v>
      </c>
      <c r="I53">
        <f t="shared" si="41"/>
        <v>5</v>
      </c>
      <c r="J53">
        <f t="shared" si="42"/>
        <v>1210</v>
      </c>
      <c r="K53">
        <f t="shared" si="43"/>
        <v>500</v>
      </c>
      <c r="L53">
        <f t="shared" si="44"/>
        <v>605</v>
      </c>
      <c r="M53">
        <f t="shared" si="45"/>
        <v>26.249999999999996</v>
      </c>
      <c r="N53">
        <f t="shared" si="46"/>
        <v>28.874999999999996</v>
      </c>
      <c r="O53" t="str">
        <f t="shared" si="47"/>
        <v>Marché 1</v>
      </c>
      <c r="P53">
        <f>VLOOKUP(O53,pxmassif,D53-2010,FALSE)*M53</f>
        <v>328.12499999999994</v>
      </c>
      <c r="Q53">
        <f>VLOOKUP(O53,pxcopeau,D53-2010,FALSE)*N53</f>
        <v>216.56249999999997</v>
      </c>
      <c r="R53" t="str">
        <f t="shared" si="48"/>
        <v>SO</v>
      </c>
      <c r="S53">
        <f t="shared" si="49"/>
        <v>0</v>
      </c>
      <c r="T53">
        <f t="shared" si="50"/>
        <v>0</v>
      </c>
      <c r="U53" t="str">
        <f t="shared" si="51"/>
        <v>Marché 1</v>
      </c>
      <c r="V53">
        <f>VLOOKUP(U53,pxmassif,$D53-2010,FALSE)*S53</f>
        <v>0</v>
      </c>
      <c r="W53">
        <f>VLOOKUP(U53,pxcopeau,$D53-2010,FALSE)*T53</f>
        <v>0</v>
      </c>
      <c r="X53" t="str">
        <f t="shared" si="52"/>
        <v>SO</v>
      </c>
      <c r="Y53">
        <f t="shared" si="53"/>
        <v>0</v>
      </c>
      <c r="Z53">
        <f t="shared" si="54"/>
        <v>0</v>
      </c>
      <c r="AA53" t="str">
        <f t="shared" si="55"/>
        <v>Marché 1</v>
      </c>
      <c r="AB53">
        <f>VLOOKUP(AA53,pxmassif,$D53-2010,FALSE)*Y53</f>
        <v>0</v>
      </c>
      <c r="AC53">
        <f>VLOOKUP(AA53,pxcopeau,$D53-2010,FALSE)*Z53</f>
        <v>0</v>
      </c>
      <c r="AD53">
        <f t="shared" si="25"/>
        <v>26.249999999999996</v>
      </c>
      <c r="AE53">
        <f t="shared" si="26"/>
        <v>28.874999999999996</v>
      </c>
      <c r="AF53">
        <f t="shared" si="27"/>
        <v>55.124999999999993</v>
      </c>
      <c r="AG53">
        <f t="shared" si="28"/>
        <v>0</v>
      </c>
      <c r="AH53">
        <f t="shared" si="29"/>
        <v>0</v>
      </c>
      <c r="AI53">
        <f t="shared" si="30"/>
        <v>26.249999999999996</v>
      </c>
      <c r="AJ53">
        <f t="shared" si="31"/>
        <v>28.874999999999996</v>
      </c>
      <c r="AK53">
        <f t="shared" si="56"/>
        <v>51.730874999999997</v>
      </c>
      <c r="AL53">
        <f t="shared" si="57"/>
        <v>0</v>
      </c>
      <c r="AM53">
        <f>IFERROR(MIN(AL53,VLOOKUP(CONCATENATE(C53,"-to lingot"),negchutes,D53-2007,FALSE)),0)</f>
        <v>0</v>
      </c>
      <c r="AN53">
        <f t="shared" si="32"/>
        <v>0</v>
      </c>
      <c r="AO53" t="str">
        <f t="shared" si="62"/>
        <v>SO</v>
      </c>
      <c r="AP53">
        <f>IF(AR53=0,0,IFERROR(VLOOKUP(CONCATENATE($C53,"-to massif"),negchutes,$D53-2007,FALSE),0)*AM53/AR53)</f>
        <v>0</v>
      </c>
      <c r="AQ53">
        <f>IF(AR53=0,0,IFERROR(VLOOKUP(CONCATENATE($C53,"-to copeaux"),negchutes,$D53-2007,FALSE),0)*AM53/AR53)</f>
        <v>0</v>
      </c>
      <c r="AR53">
        <f>IFERROR(VLOOKUP(CONCATENATE($C53,"-to lingot"),negchutes,$D53-2007,FALSE),0)</f>
        <v>0</v>
      </c>
      <c r="AS53">
        <f>IF(AR53=0,0,AP53*VLOOKUP(CONCATENATE($C53,"-ac massif"),negchutes,$D53-2007,FALSE))</f>
        <v>0</v>
      </c>
      <c r="AT53">
        <f>IF(AR53=0,0,AQ53*VLOOKUP(CONCATENATE($C53,"-ac copeaux"),negchutes,$D53-2007,FALSE))</f>
        <v>0</v>
      </c>
      <c r="AU53">
        <f t="shared" si="58"/>
        <v>0</v>
      </c>
      <c r="AV53">
        <f>IFERROR(VLOOKUP(CONCATENATE(C53,"-px lingot"),negchutes,D53-2007,FALSE),0)*AM53</f>
        <v>0</v>
      </c>
      <c r="AW53">
        <f>AN53*VLOOKUP("Marché 1",pxlingot,D53-2010,FALSE)</f>
        <v>0</v>
      </c>
      <c r="AX53">
        <f t="shared" si="34"/>
        <v>0</v>
      </c>
      <c r="AY53" t="str">
        <f t="shared" si="59"/>
        <v>VAR</v>
      </c>
      <c r="AZ53">
        <f t="shared" si="60"/>
        <v>51.730874999999997</v>
      </c>
      <c r="BA53">
        <f>MAX(VLOOKUP(VLOOKUP(C53,descmarche,28,FALSE),pxlingot,D53-2010,FALSE),AX53)</f>
        <v>0</v>
      </c>
      <c r="BB53">
        <f t="shared" si="35"/>
        <v>0</v>
      </c>
      <c r="BC53" t="str">
        <f t="shared" si="61"/>
        <v>SO</v>
      </c>
    </row>
    <row r="54" spans="1:55" x14ac:dyDescent="0.25">
      <c r="A54" t="s">
        <v>16</v>
      </c>
      <c r="B54" s="4" t="s">
        <v>45</v>
      </c>
      <c r="C54" t="str">
        <f t="shared" si="63"/>
        <v>UKTMP-04</v>
      </c>
      <c r="D54">
        <v>2024</v>
      </c>
      <c r="E54">
        <v>500</v>
      </c>
      <c r="F54" t="str">
        <f t="shared" si="1"/>
        <v>Autres Avionneurs</v>
      </c>
      <c r="G54" t="str">
        <f t="shared" si="39"/>
        <v>Autres Structures source UKTMP</v>
      </c>
      <c r="H54">
        <f t="shared" si="40"/>
        <v>0</v>
      </c>
      <c r="I54">
        <f t="shared" si="41"/>
        <v>5</v>
      </c>
      <c r="J54">
        <f t="shared" si="42"/>
        <v>1210</v>
      </c>
      <c r="K54">
        <f t="shared" si="43"/>
        <v>500</v>
      </c>
      <c r="L54">
        <f t="shared" si="44"/>
        <v>605</v>
      </c>
      <c r="M54">
        <f t="shared" si="45"/>
        <v>26.249999999999996</v>
      </c>
      <c r="N54">
        <f t="shared" si="46"/>
        <v>28.874999999999996</v>
      </c>
      <c r="O54" t="str">
        <f t="shared" si="47"/>
        <v>Marché 1</v>
      </c>
      <c r="P54">
        <f>VLOOKUP(O54,pxmassif,D54-2010,FALSE)*M54</f>
        <v>328.12499999999994</v>
      </c>
      <c r="Q54">
        <f>VLOOKUP(O54,pxcopeau,D54-2010,FALSE)*N54</f>
        <v>216.56249999999997</v>
      </c>
      <c r="R54" t="str">
        <f t="shared" si="48"/>
        <v>SO</v>
      </c>
      <c r="S54">
        <f t="shared" si="49"/>
        <v>0</v>
      </c>
      <c r="T54">
        <f t="shared" si="50"/>
        <v>0</v>
      </c>
      <c r="U54" t="str">
        <f t="shared" si="51"/>
        <v>Marché 1</v>
      </c>
      <c r="V54">
        <f>VLOOKUP(U54,pxmassif,$D54-2010,FALSE)*S54</f>
        <v>0</v>
      </c>
      <c r="W54">
        <f>VLOOKUP(U54,pxcopeau,$D54-2010,FALSE)*T54</f>
        <v>0</v>
      </c>
      <c r="X54" t="str">
        <f t="shared" si="52"/>
        <v>SO</v>
      </c>
      <c r="Y54">
        <f t="shared" si="53"/>
        <v>0</v>
      </c>
      <c r="Z54">
        <f t="shared" si="54"/>
        <v>0</v>
      </c>
      <c r="AA54" t="str">
        <f t="shared" si="55"/>
        <v>Marché 1</v>
      </c>
      <c r="AB54">
        <f>VLOOKUP(AA54,pxmassif,$D54-2010,FALSE)*Y54</f>
        <v>0</v>
      </c>
      <c r="AC54">
        <f>VLOOKUP(AA54,pxcopeau,$D54-2010,FALSE)*Z54</f>
        <v>0</v>
      </c>
      <c r="AD54">
        <f t="shared" si="25"/>
        <v>26.249999999999996</v>
      </c>
      <c r="AE54">
        <f t="shared" si="26"/>
        <v>28.874999999999996</v>
      </c>
      <c r="AF54">
        <f t="shared" si="27"/>
        <v>55.124999999999993</v>
      </c>
      <c r="AG54">
        <f t="shared" si="28"/>
        <v>0</v>
      </c>
      <c r="AH54">
        <f t="shared" si="29"/>
        <v>0</v>
      </c>
      <c r="AI54">
        <f t="shared" si="30"/>
        <v>26.249999999999996</v>
      </c>
      <c r="AJ54">
        <f t="shared" si="31"/>
        <v>28.874999999999996</v>
      </c>
      <c r="AK54">
        <f t="shared" si="56"/>
        <v>51.730874999999997</v>
      </c>
      <c r="AL54">
        <f t="shared" si="57"/>
        <v>0</v>
      </c>
      <c r="AM54">
        <f>IFERROR(MIN(AL54,VLOOKUP(CONCATENATE(C54,"-to lingot"),negchutes,D54-2007,FALSE)),0)</f>
        <v>0</v>
      </c>
      <c r="AN54">
        <f t="shared" si="32"/>
        <v>0</v>
      </c>
      <c r="AO54" t="str">
        <f t="shared" si="62"/>
        <v>SO</v>
      </c>
      <c r="AP54">
        <f>IF(AR54=0,0,IFERROR(VLOOKUP(CONCATENATE($C54,"-to massif"),negchutes,$D54-2007,FALSE),0)*AM54/AR54)</f>
        <v>0</v>
      </c>
      <c r="AQ54">
        <f>IF(AR54=0,0,IFERROR(VLOOKUP(CONCATENATE($C54,"-to copeaux"),negchutes,$D54-2007,FALSE),0)*AM54/AR54)</f>
        <v>0</v>
      </c>
      <c r="AR54">
        <f>IFERROR(VLOOKUP(CONCATENATE($C54,"-to lingot"),negchutes,$D54-2007,FALSE),0)</f>
        <v>0</v>
      </c>
      <c r="AS54">
        <f>IF(AR54=0,0,AP54*VLOOKUP(CONCATENATE($C54,"-ac massif"),negchutes,$D54-2007,FALSE))</f>
        <v>0</v>
      </c>
      <c r="AT54">
        <f>IF(AR54=0,0,AQ54*VLOOKUP(CONCATENATE($C54,"-ac copeaux"),negchutes,$D54-2007,FALSE))</f>
        <v>0</v>
      </c>
      <c r="AU54">
        <f t="shared" si="58"/>
        <v>0</v>
      </c>
      <c r="AV54">
        <f>IFERROR(VLOOKUP(CONCATENATE(C54,"-px lingot"),negchutes,D54-2007,FALSE),0)*AM54</f>
        <v>0</v>
      </c>
      <c r="AW54">
        <f>AN54*VLOOKUP("Marché 1",pxlingot,D54-2010,FALSE)</f>
        <v>0</v>
      </c>
      <c r="AX54">
        <f t="shared" si="34"/>
        <v>0</v>
      </c>
      <c r="AY54" t="str">
        <f t="shared" si="59"/>
        <v>VAR</v>
      </c>
      <c r="AZ54">
        <f t="shared" si="60"/>
        <v>51.730874999999997</v>
      </c>
      <c r="BA54">
        <f>MAX(VLOOKUP(VLOOKUP(C54,descmarche,28,FALSE),pxlingot,D54-2010,FALSE),AX54)</f>
        <v>0</v>
      </c>
      <c r="BB54">
        <f t="shared" si="35"/>
        <v>0</v>
      </c>
      <c r="BC54" t="str">
        <f t="shared" si="61"/>
        <v>SO</v>
      </c>
    </row>
    <row r="55" spans="1:55" x14ac:dyDescent="0.25">
      <c r="A55" t="s">
        <v>16</v>
      </c>
      <c r="B55" s="4" t="s">
        <v>46</v>
      </c>
      <c r="C55" t="str">
        <f t="shared" si="63"/>
        <v>UKTMP-05</v>
      </c>
      <c r="D55">
        <v>2012</v>
      </c>
      <c r="E55">
        <v>0</v>
      </c>
      <c r="F55" t="str">
        <f t="shared" si="1"/>
        <v>Motoristes Pièces</v>
      </c>
      <c r="G55" t="str">
        <f t="shared" si="39"/>
        <v>Motoristes Pièces source UKTMP</v>
      </c>
      <c r="H55">
        <f t="shared" si="40"/>
        <v>0</v>
      </c>
      <c r="I55">
        <f t="shared" si="41"/>
        <v>5</v>
      </c>
      <c r="J55">
        <f t="shared" si="42"/>
        <v>1210</v>
      </c>
      <c r="K55">
        <f t="shared" si="43"/>
        <v>0</v>
      </c>
      <c r="L55">
        <f t="shared" si="44"/>
        <v>0</v>
      </c>
      <c r="M55">
        <f t="shared" si="45"/>
        <v>0</v>
      </c>
      <c r="N55">
        <f t="shared" si="46"/>
        <v>0</v>
      </c>
      <c r="O55" t="str">
        <f t="shared" si="47"/>
        <v>Marché 1</v>
      </c>
      <c r="P55">
        <f>VLOOKUP(O55,pxmassif,D55-2010,FALSE)*M55</f>
        <v>0</v>
      </c>
      <c r="Q55">
        <f>VLOOKUP(O55,pxcopeau,D55-2010,FALSE)*N55</f>
        <v>0</v>
      </c>
      <c r="R55" t="str">
        <f t="shared" si="48"/>
        <v>SO</v>
      </c>
      <c r="S55">
        <f t="shared" si="49"/>
        <v>0</v>
      </c>
      <c r="T55">
        <f t="shared" si="50"/>
        <v>0</v>
      </c>
      <c r="U55" t="str">
        <f t="shared" si="51"/>
        <v>Marché 1</v>
      </c>
      <c r="V55">
        <f>VLOOKUP(U55,pxmassif,$D55-2010,FALSE)*S55</f>
        <v>0</v>
      </c>
      <c r="W55">
        <f>VLOOKUP(U55,pxcopeau,$D55-2010,FALSE)*T55</f>
        <v>0</v>
      </c>
      <c r="X55" t="str">
        <f t="shared" si="52"/>
        <v>SO</v>
      </c>
      <c r="Y55">
        <f t="shared" si="53"/>
        <v>0</v>
      </c>
      <c r="Z55">
        <f t="shared" si="54"/>
        <v>0</v>
      </c>
      <c r="AA55" t="str">
        <f t="shared" si="55"/>
        <v>Marché 1</v>
      </c>
      <c r="AB55">
        <f>VLOOKUP(AA55,pxmassif,$D55-2010,FALSE)*Y55</f>
        <v>0</v>
      </c>
      <c r="AC55">
        <f>VLOOKUP(AA55,pxcopeau,$D55-2010,FALSE)*Z55</f>
        <v>0</v>
      </c>
      <c r="AD55">
        <f t="shared" si="25"/>
        <v>0</v>
      </c>
      <c r="AE55">
        <f t="shared" si="26"/>
        <v>0</v>
      </c>
      <c r="AF55">
        <f t="shared" si="27"/>
        <v>0</v>
      </c>
      <c r="AG55">
        <f t="shared" si="28"/>
        <v>0</v>
      </c>
      <c r="AH55">
        <f t="shared" si="29"/>
        <v>0</v>
      </c>
      <c r="AI55">
        <f t="shared" si="30"/>
        <v>0</v>
      </c>
      <c r="AJ55">
        <f t="shared" si="31"/>
        <v>0</v>
      </c>
      <c r="AK55">
        <f t="shared" si="56"/>
        <v>0</v>
      </c>
      <c r="AL55">
        <f t="shared" si="57"/>
        <v>0</v>
      </c>
      <c r="AM55">
        <f>IFERROR(MIN(AL55,VLOOKUP(CONCATENATE(C55,"-to lingot"),negchutes,D55-2007,FALSE)),0)</f>
        <v>0</v>
      </c>
      <c r="AN55">
        <f t="shared" si="32"/>
        <v>0</v>
      </c>
      <c r="AO55" t="str">
        <f t="shared" si="62"/>
        <v>SO</v>
      </c>
      <c r="AP55">
        <f>IF(AR55=0,0,IFERROR(VLOOKUP(CONCATENATE($C55,"-to massif"),negchutes,$D55-2007,FALSE),0)*AM55/AR55)</f>
        <v>0</v>
      </c>
      <c r="AQ55">
        <f>IF(AR55=0,0,IFERROR(VLOOKUP(CONCATENATE($C55,"-to copeaux"),negchutes,$D55-2007,FALSE),0)*AM55/AR55)</f>
        <v>0</v>
      </c>
      <c r="AR55">
        <f>IFERROR(VLOOKUP(CONCATENATE($C55,"-to lingot"),negchutes,$D55-2007,FALSE),0)</f>
        <v>0</v>
      </c>
      <c r="AS55">
        <f>IF(AR55=0,0,AP55*VLOOKUP(CONCATENATE($C55,"-ac massif"),negchutes,$D55-2007,FALSE))</f>
        <v>0</v>
      </c>
      <c r="AT55">
        <f>IF(AR55=0,0,AQ55*VLOOKUP(CONCATENATE($C55,"-ac copeaux"),negchutes,$D55-2007,FALSE))</f>
        <v>0</v>
      </c>
      <c r="AU55">
        <f t="shared" si="58"/>
        <v>0</v>
      </c>
      <c r="AV55">
        <f>IFERROR(VLOOKUP(CONCATENATE(C55,"-px lingot"),negchutes,D55-2007,FALSE),0)*AM55</f>
        <v>0</v>
      </c>
      <c r="AW55">
        <f>AN55*VLOOKUP("Marché 1",pxlingot,D55-2010,FALSE)</f>
        <v>0</v>
      </c>
      <c r="AX55">
        <f t="shared" si="34"/>
        <v>0</v>
      </c>
      <c r="AY55" t="str">
        <f t="shared" si="59"/>
        <v>VAR</v>
      </c>
      <c r="AZ55">
        <f t="shared" si="60"/>
        <v>0</v>
      </c>
      <c r="BA55">
        <f>MAX(VLOOKUP(VLOOKUP(C55,descmarche,28,FALSE),pxlingot,D55-2010,FALSE),AX55)</f>
        <v>0</v>
      </c>
      <c r="BB55">
        <f t="shared" si="35"/>
        <v>0</v>
      </c>
      <c r="BC55" t="str">
        <f t="shared" si="61"/>
        <v>SO</v>
      </c>
    </row>
    <row r="56" spans="1:55" x14ac:dyDescent="0.25">
      <c r="A56" t="s">
        <v>16</v>
      </c>
      <c r="B56" s="4" t="s">
        <v>46</v>
      </c>
      <c r="C56" t="str">
        <f t="shared" si="63"/>
        <v>UKTMP-05</v>
      </c>
      <c r="D56">
        <v>2013</v>
      </c>
      <c r="E56">
        <v>100</v>
      </c>
      <c r="F56" t="str">
        <f t="shared" si="1"/>
        <v>Motoristes Pièces</v>
      </c>
      <c r="G56" t="str">
        <f t="shared" si="39"/>
        <v>Motoristes Pièces source UKTMP</v>
      </c>
      <c r="H56">
        <f t="shared" si="40"/>
        <v>0</v>
      </c>
      <c r="I56">
        <f t="shared" si="41"/>
        <v>5</v>
      </c>
      <c r="J56">
        <f t="shared" si="42"/>
        <v>1210</v>
      </c>
      <c r="K56">
        <f t="shared" si="43"/>
        <v>100</v>
      </c>
      <c r="L56">
        <f t="shared" si="44"/>
        <v>121</v>
      </c>
      <c r="M56">
        <f t="shared" si="45"/>
        <v>5.2499999999999991</v>
      </c>
      <c r="N56">
        <f t="shared" si="46"/>
        <v>5.7749999999999995</v>
      </c>
      <c r="O56" t="str">
        <f t="shared" si="47"/>
        <v>Marché 1</v>
      </c>
      <c r="P56">
        <f>VLOOKUP(O56,pxmassif,D56-2010,FALSE)*M56</f>
        <v>65.624999999999986</v>
      </c>
      <c r="Q56">
        <f>VLOOKUP(O56,pxcopeau,D56-2010,FALSE)*N56</f>
        <v>43.312499999999993</v>
      </c>
      <c r="R56" t="str">
        <f t="shared" si="48"/>
        <v>SO</v>
      </c>
      <c r="S56">
        <f t="shared" si="49"/>
        <v>0</v>
      </c>
      <c r="T56">
        <f t="shared" si="50"/>
        <v>0</v>
      </c>
      <c r="U56" t="str">
        <f t="shared" si="51"/>
        <v>Marché 1</v>
      </c>
      <c r="V56">
        <f>VLOOKUP(U56,pxmassif,$D56-2010,FALSE)*S56</f>
        <v>0</v>
      </c>
      <c r="W56">
        <f>VLOOKUP(U56,pxcopeau,$D56-2010,FALSE)*T56</f>
        <v>0</v>
      </c>
      <c r="X56" t="str">
        <f t="shared" si="52"/>
        <v>SO</v>
      </c>
      <c r="Y56">
        <f t="shared" si="53"/>
        <v>0</v>
      </c>
      <c r="Z56">
        <f t="shared" si="54"/>
        <v>0</v>
      </c>
      <c r="AA56" t="str">
        <f t="shared" si="55"/>
        <v>Marché 1</v>
      </c>
      <c r="AB56">
        <f>VLOOKUP(AA56,pxmassif,$D56-2010,FALSE)*Y56</f>
        <v>0</v>
      </c>
      <c r="AC56">
        <f>VLOOKUP(AA56,pxcopeau,$D56-2010,FALSE)*Z56</f>
        <v>0</v>
      </c>
      <c r="AD56">
        <f t="shared" si="25"/>
        <v>5.2499999999999991</v>
      </c>
      <c r="AE56">
        <f t="shared" si="26"/>
        <v>5.7749999999999995</v>
      </c>
      <c r="AF56">
        <f t="shared" si="27"/>
        <v>11.024999999999999</v>
      </c>
      <c r="AG56">
        <f t="shared" si="28"/>
        <v>0</v>
      </c>
      <c r="AH56">
        <f t="shared" si="29"/>
        <v>0</v>
      </c>
      <c r="AI56">
        <f t="shared" si="30"/>
        <v>5.2499999999999991</v>
      </c>
      <c r="AJ56">
        <f t="shared" si="31"/>
        <v>5.7749999999999995</v>
      </c>
      <c r="AK56">
        <f t="shared" si="56"/>
        <v>10.346174999999999</v>
      </c>
      <c r="AL56">
        <f t="shared" si="57"/>
        <v>0</v>
      </c>
      <c r="AM56">
        <f>IFERROR(MIN(AL56,VLOOKUP(CONCATENATE(C56,"-to lingot"),negchutes,D56-2007,FALSE)),0)</f>
        <v>0</v>
      </c>
      <c r="AN56">
        <f t="shared" si="32"/>
        <v>0</v>
      </c>
      <c r="AO56" t="str">
        <f t="shared" si="62"/>
        <v>SO</v>
      </c>
      <c r="AP56">
        <f>IF(AR56=0,0,IFERROR(VLOOKUP(CONCATENATE($C56,"-to massif"),negchutes,$D56-2007,FALSE),0)*AM56/AR56)</f>
        <v>0</v>
      </c>
      <c r="AQ56">
        <f>IF(AR56=0,0,IFERROR(VLOOKUP(CONCATENATE($C56,"-to copeaux"),negchutes,$D56-2007,FALSE),0)*AM56/AR56)</f>
        <v>0</v>
      </c>
      <c r="AR56">
        <f>IFERROR(VLOOKUP(CONCATENATE($C56,"-to lingot"),negchutes,$D56-2007,FALSE),0)</f>
        <v>0</v>
      </c>
      <c r="AS56">
        <f>IF(AR56=0,0,AP56*VLOOKUP(CONCATENATE($C56,"-ac massif"),negchutes,$D56-2007,FALSE))</f>
        <v>0</v>
      </c>
      <c r="AT56">
        <f>IF(AR56=0,0,AQ56*VLOOKUP(CONCATENATE($C56,"-ac copeaux"),negchutes,$D56-2007,FALSE))</f>
        <v>0</v>
      </c>
      <c r="AU56">
        <f t="shared" si="58"/>
        <v>0</v>
      </c>
      <c r="AV56">
        <f>IFERROR(VLOOKUP(CONCATENATE(C56,"-px lingot"),negchutes,D56-2007,FALSE),0)*AM56</f>
        <v>0</v>
      </c>
      <c r="AW56">
        <f>AN56*VLOOKUP("Marché 1",pxlingot,D56-2010,FALSE)</f>
        <v>0</v>
      </c>
      <c r="AX56">
        <f t="shared" si="34"/>
        <v>0</v>
      </c>
      <c r="AY56" t="str">
        <f t="shared" si="59"/>
        <v>VAR</v>
      </c>
      <c r="AZ56">
        <f t="shared" si="60"/>
        <v>10.346174999999999</v>
      </c>
      <c r="BA56">
        <f>MAX(VLOOKUP(VLOOKUP(C56,descmarche,28,FALSE),pxlingot,D56-2010,FALSE),AX56)</f>
        <v>0</v>
      </c>
      <c r="BB56">
        <f t="shared" si="35"/>
        <v>0</v>
      </c>
      <c r="BC56" t="str">
        <f t="shared" si="61"/>
        <v>SO</v>
      </c>
    </row>
    <row r="57" spans="1:55" x14ac:dyDescent="0.25">
      <c r="A57" t="s">
        <v>16</v>
      </c>
      <c r="B57" s="4" t="s">
        <v>46</v>
      </c>
      <c r="C57" t="str">
        <f t="shared" ref="C57:C69" si="64">CONCATENATE(A57,"-",B57)</f>
        <v>UKTMP-05</v>
      </c>
      <c r="D57">
        <v>2014</v>
      </c>
      <c r="E57">
        <v>100</v>
      </c>
      <c r="F57" t="str">
        <f t="shared" si="1"/>
        <v>Motoristes Pièces</v>
      </c>
      <c r="G57" t="str">
        <f t="shared" si="39"/>
        <v>Motoristes Pièces source UKTMP</v>
      </c>
      <c r="H57">
        <f t="shared" si="40"/>
        <v>0</v>
      </c>
      <c r="I57">
        <f t="shared" si="41"/>
        <v>5</v>
      </c>
      <c r="J57">
        <f t="shared" si="42"/>
        <v>1210</v>
      </c>
      <c r="K57">
        <f t="shared" si="43"/>
        <v>100</v>
      </c>
      <c r="L57">
        <f t="shared" si="44"/>
        <v>121</v>
      </c>
      <c r="M57">
        <f t="shared" si="45"/>
        <v>5.2499999999999991</v>
      </c>
      <c r="N57">
        <f t="shared" si="46"/>
        <v>5.7749999999999995</v>
      </c>
      <c r="O57" t="str">
        <f t="shared" si="47"/>
        <v>Marché 1</v>
      </c>
      <c r="P57">
        <f>VLOOKUP(O57,pxmassif,D57-2010,FALSE)*M57</f>
        <v>65.624999999999986</v>
      </c>
      <c r="Q57">
        <f>VLOOKUP(O57,pxcopeau,D57-2010,FALSE)*N57</f>
        <v>43.312499999999993</v>
      </c>
      <c r="R57" t="str">
        <f t="shared" si="48"/>
        <v>SO</v>
      </c>
      <c r="S57">
        <f t="shared" si="49"/>
        <v>0</v>
      </c>
      <c r="T57">
        <f t="shared" si="50"/>
        <v>0</v>
      </c>
      <c r="U57" t="str">
        <f t="shared" si="51"/>
        <v>Marché 1</v>
      </c>
      <c r="V57">
        <f>VLOOKUP(U57,pxmassif,$D57-2010,FALSE)*S57</f>
        <v>0</v>
      </c>
      <c r="W57">
        <f>VLOOKUP(U57,pxcopeau,$D57-2010,FALSE)*T57</f>
        <v>0</v>
      </c>
      <c r="X57" t="str">
        <f t="shared" si="52"/>
        <v>SO</v>
      </c>
      <c r="Y57">
        <f t="shared" si="53"/>
        <v>0</v>
      </c>
      <c r="Z57">
        <f t="shared" si="54"/>
        <v>0</v>
      </c>
      <c r="AA57" t="str">
        <f t="shared" si="55"/>
        <v>Marché 1</v>
      </c>
      <c r="AB57">
        <f>VLOOKUP(AA57,pxmassif,$D57-2010,FALSE)*Y57</f>
        <v>0</v>
      </c>
      <c r="AC57">
        <f>VLOOKUP(AA57,pxcopeau,$D57-2010,FALSE)*Z57</f>
        <v>0</v>
      </c>
      <c r="AD57">
        <f t="shared" si="25"/>
        <v>5.2499999999999991</v>
      </c>
      <c r="AE57">
        <f t="shared" si="26"/>
        <v>5.7749999999999995</v>
      </c>
      <c r="AF57">
        <f t="shared" si="27"/>
        <v>11.024999999999999</v>
      </c>
      <c r="AG57">
        <f t="shared" si="28"/>
        <v>0</v>
      </c>
      <c r="AH57">
        <f t="shared" si="29"/>
        <v>0</v>
      </c>
      <c r="AI57">
        <f t="shared" si="30"/>
        <v>5.2499999999999991</v>
      </c>
      <c r="AJ57">
        <f t="shared" si="31"/>
        <v>5.7749999999999995</v>
      </c>
      <c r="AK57">
        <f t="shared" si="56"/>
        <v>10.346174999999999</v>
      </c>
      <c r="AL57">
        <f t="shared" si="57"/>
        <v>0</v>
      </c>
      <c r="AM57">
        <f>IFERROR(MIN(AL57,VLOOKUP(CONCATENATE(C57,"-to lingot"),negchutes,D57-2007,FALSE)),0)</f>
        <v>0</v>
      </c>
      <c r="AN57">
        <f t="shared" si="32"/>
        <v>0</v>
      </c>
      <c r="AO57" t="str">
        <f t="shared" si="62"/>
        <v>SO</v>
      </c>
      <c r="AP57">
        <f>IF(AR57=0,0,IFERROR(VLOOKUP(CONCATENATE($C57,"-to massif"),negchutes,$D57-2007,FALSE),0)*AM57/AR57)</f>
        <v>0</v>
      </c>
      <c r="AQ57">
        <f>IF(AR57=0,0,IFERROR(VLOOKUP(CONCATENATE($C57,"-to copeaux"),negchutes,$D57-2007,FALSE),0)*AM57/AR57)</f>
        <v>0</v>
      </c>
      <c r="AR57">
        <f>IFERROR(VLOOKUP(CONCATENATE($C57,"-to lingot"),negchutes,$D57-2007,FALSE),0)</f>
        <v>0</v>
      </c>
      <c r="AS57">
        <f>IF(AR57=0,0,AP57*VLOOKUP(CONCATENATE($C57,"-ac massif"),negchutes,$D57-2007,FALSE))</f>
        <v>0</v>
      </c>
      <c r="AT57">
        <f>IF(AR57=0,0,AQ57*VLOOKUP(CONCATENATE($C57,"-ac copeaux"),negchutes,$D57-2007,FALSE))</f>
        <v>0</v>
      </c>
      <c r="AU57">
        <f t="shared" si="58"/>
        <v>0</v>
      </c>
      <c r="AV57">
        <f>IFERROR(VLOOKUP(CONCATENATE(C57,"-px lingot"),negchutes,D57-2007,FALSE),0)*AM57</f>
        <v>0</v>
      </c>
      <c r="AW57">
        <f>AN57*VLOOKUP("Marché 1",pxlingot,D57-2010,FALSE)</f>
        <v>0</v>
      </c>
      <c r="AX57">
        <f t="shared" si="34"/>
        <v>0</v>
      </c>
      <c r="AY57" t="str">
        <f t="shared" si="59"/>
        <v>VAR</v>
      </c>
      <c r="AZ57">
        <f t="shared" si="60"/>
        <v>10.346174999999999</v>
      </c>
      <c r="BA57">
        <f>MAX(VLOOKUP(VLOOKUP(C57,descmarche,28,FALSE),pxlingot,D57-2010,FALSE),AX57)</f>
        <v>0</v>
      </c>
      <c r="BB57">
        <f t="shared" si="35"/>
        <v>0</v>
      </c>
      <c r="BC57" t="str">
        <f t="shared" si="61"/>
        <v>SO</v>
      </c>
    </row>
    <row r="58" spans="1:55" x14ac:dyDescent="0.25">
      <c r="A58" t="s">
        <v>16</v>
      </c>
      <c r="B58" s="4" t="s">
        <v>46</v>
      </c>
      <c r="C58" t="str">
        <f t="shared" si="64"/>
        <v>UKTMP-05</v>
      </c>
      <c r="D58">
        <v>2015</v>
      </c>
      <c r="E58">
        <v>100</v>
      </c>
      <c r="F58" t="str">
        <f t="shared" si="1"/>
        <v>Motoristes Pièces</v>
      </c>
      <c r="G58" t="str">
        <f t="shared" si="39"/>
        <v>Motoristes Pièces source UKTMP</v>
      </c>
      <c r="H58">
        <f t="shared" si="40"/>
        <v>0</v>
      </c>
      <c r="I58">
        <f t="shared" si="41"/>
        <v>5</v>
      </c>
      <c r="J58">
        <f t="shared" si="42"/>
        <v>1210</v>
      </c>
      <c r="K58">
        <f t="shared" si="43"/>
        <v>100</v>
      </c>
      <c r="L58">
        <f t="shared" si="44"/>
        <v>121</v>
      </c>
      <c r="M58">
        <f t="shared" si="45"/>
        <v>5.2499999999999991</v>
      </c>
      <c r="N58">
        <f t="shared" si="46"/>
        <v>5.7749999999999995</v>
      </c>
      <c r="O58" t="str">
        <f t="shared" si="47"/>
        <v>Marché 1</v>
      </c>
      <c r="P58">
        <f>VLOOKUP(O58,pxmassif,D58-2010,FALSE)*M58</f>
        <v>65.624999999999986</v>
      </c>
      <c r="Q58">
        <f>VLOOKUP(O58,pxcopeau,D58-2010,FALSE)*N58</f>
        <v>43.312499999999993</v>
      </c>
      <c r="R58" t="str">
        <f t="shared" si="48"/>
        <v>SO</v>
      </c>
      <c r="S58">
        <f t="shared" si="49"/>
        <v>0</v>
      </c>
      <c r="T58">
        <f t="shared" si="50"/>
        <v>0</v>
      </c>
      <c r="U58" t="str">
        <f t="shared" si="51"/>
        <v>Marché 1</v>
      </c>
      <c r="V58">
        <f>VLOOKUP(U58,pxmassif,$D58-2010,FALSE)*S58</f>
        <v>0</v>
      </c>
      <c r="W58">
        <f>VLOOKUP(U58,pxcopeau,$D58-2010,FALSE)*T58</f>
        <v>0</v>
      </c>
      <c r="X58" t="str">
        <f t="shared" si="52"/>
        <v>SO</v>
      </c>
      <c r="Y58">
        <f t="shared" si="53"/>
        <v>0</v>
      </c>
      <c r="Z58">
        <f t="shared" si="54"/>
        <v>0</v>
      </c>
      <c r="AA58" t="str">
        <f t="shared" si="55"/>
        <v>Marché 1</v>
      </c>
      <c r="AB58">
        <f>VLOOKUP(AA58,pxmassif,$D58-2010,FALSE)*Y58</f>
        <v>0</v>
      </c>
      <c r="AC58">
        <f>VLOOKUP(AA58,pxcopeau,$D58-2010,FALSE)*Z58</f>
        <v>0</v>
      </c>
      <c r="AD58">
        <f t="shared" si="25"/>
        <v>5.2499999999999991</v>
      </c>
      <c r="AE58">
        <f t="shared" si="26"/>
        <v>5.7749999999999995</v>
      </c>
      <c r="AF58">
        <f t="shared" si="27"/>
        <v>11.024999999999999</v>
      </c>
      <c r="AG58">
        <f t="shared" si="28"/>
        <v>0</v>
      </c>
      <c r="AH58">
        <f t="shared" si="29"/>
        <v>0</v>
      </c>
      <c r="AI58">
        <f t="shared" si="30"/>
        <v>5.2499999999999991</v>
      </c>
      <c r="AJ58">
        <f t="shared" si="31"/>
        <v>5.7749999999999995</v>
      </c>
      <c r="AK58">
        <f t="shared" si="56"/>
        <v>10.346174999999999</v>
      </c>
      <c r="AL58">
        <f t="shared" si="57"/>
        <v>0</v>
      </c>
      <c r="AM58">
        <f>IFERROR(MIN(AL58,VLOOKUP(CONCATENATE(C58,"-to lingot"),negchutes,D58-2007,FALSE)),0)</f>
        <v>0</v>
      </c>
      <c r="AN58">
        <f t="shared" si="32"/>
        <v>0</v>
      </c>
      <c r="AO58" t="str">
        <f t="shared" si="62"/>
        <v>SO</v>
      </c>
      <c r="AP58">
        <f>IF(AR58=0,0,IFERROR(VLOOKUP(CONCATENATE($C58,"-to massif"),negchutes,$D58-2007,FALSE),0)*AM58/AR58)</f>
        <v>0</v>
      </c>
      <c r="AQ58">
        <f>IF(AR58=0,0,IFERROR(VLOOKUP(CONCATENATE($C58,"-to copeaux"),negchutes,$D58-2007,FALSE),0)*AM58/AR58)</f>
        <v>0</v>
      </c>
      <c r="AR58">
        <f>IFERROR(VLOOKUP(CONCATENATE($C58,"-to lingot"),negchutes,$D58-2007,FALSE),0)</f>
        <v>0</v>
      </c>
      <c r="AS58">
        <f>IF(AR58=0,0,AP58*VLOOKUP(CONCATENATE($C58,"-ac massif"),negchutes,$D58-2007,FALSE))</f>
        <v>0</v>
      </c>
      <c r="AT58">
        <f>IF(AR58=0,0,AQ58*VLOOKUP(CONCATENATE($C58,"-ac copeaux"),negchutes,$D58-2007,FALSE))</f>
        <v>0</v>
      </c>
      <c r="AU58">
        <f t="shared" si="58"/>
        <v>0</v>
      </c>
      <c r="AV58">
        <f>IFERROR(VLOOKUP(CONCATENATE(C58,"-px lingot"),negchutes,D58-2007,FALSE),0)*AM58</f>
        <v>0</v>
      </c>
      <c r="AW58">
        <f>AN58*VLOOKUP("Marché 1",pxlingot,D58-2010,FALSE)</f>
        <v>0</v>
      </c>
      <c r="AX58">
        <f t="shared" si="34"/>
        <v>0</v>
      </c>
      <c r="AY58" t="str">
        <f t="shared" si="59"/>
        <v>VAR</v>
      </c>
      <c r="AZ58">
        <f t="shared" si="60"/>
        <v>10.346174999999999</v>
      </c>
      <c r="BA58">
        <f>MAX(VLOOKUP(VLOOKUP(C58,descmarche,28,FALSE),pxlingot,D58-2010,FALSE),AX58)</f>
        <v>0</v>
      </c>
      <c r="BB58">
        <f t="shared" si="35"/>
        <v>0</v>
      </c>
      <c r="BC58" t="str">
        <f t="shared" si="61"/>
        <v>SO</v>
      </c>
    </row>
    <row r="59" spans="1:55" x14ac:dyDescent="0.25">
      <c r="A59" t="s">
        <v>16</v>
      </c>
      <c r="B59" s="4" t="s">
        <v>46</v>
      </c>
      <c r="C59" t="str">
        <f t="shared" si="64"/>
        <v>UKTMP-05</v>
      </c>
      <c r="D59">
        <v>2016</v>
      </c>
      <c r="E59">
        <v>200</v>
      </c>
      <c r="F59" t="str">
        <f t="shared" si="1"/>
        <v>Motoristes Pièces</v>
      </c>
      <c r="G59" t="str">
        <f t="shared" si="39"/>
        <v>Motoristes Pièces source UKTMP</v>
      </c>
      <c r="H59">
        <f t="shared" si="40"/>
        <v>0</v>
      </c>
      <c r="I59">
        <f t="shared" si="41"/>
        <v>5</v>
      </c>
      <c r="J59">
        <f t="shared" si="42"/>
        <v>1210</v>
      </c>
      <c r="K59">
        <f t="shared" si="43"/>
        <v>200</v>
      </c>
      <c r="L59">
        <f t="shared" si="44"/>
        <v>242</v>
      </c>
      <c r="M59">
        <f t="shared" si="45"/>
        <v>10.499999999999998</v>
      </c>
      <c r="N59">
        <f t="shared" si="46"/>
        <v>11.549999999999999</v>
      </c>
      <c r="O59" t="str">
        <f t="shared" si="47"/>
        <v>Marché 1</v>
      </c>
      <c r="P59">
        <f>VLOOKUP(O59,pxmassif,D59-2010,FALSE)*M59</f>
        <v>131.24999999999997</v>
      </c>
      <c r="Q59">
        <f>VLOOKUP(O59,pxcopeau,D59-2010,FALSE)*N59</f>
        <v>86.624999999999986</v>
      </c>
      <c r="R59" t="str">
        <f t="shared" si="48"/>
        <v>SO</v>
      </c>
      <c r="S59">
        <f t="shared" si="49"/>
        <v>0</v>
      </c>
      <c r="T59">
        <f t="shared" si="50"/>
        <v>0</v>
      </c>
      <c r="U59" t="str">
        <f t="shared" si="51"/>
        <v>Marché 1</v>
      </c>
      <c r="V59">
        <f>VLOOKUP(U59,pxmassif,$D59-2010,FALSE)*S59</f>
        <v>0</v>
      </c>
      <c r="W59">
        <f>VLOOKUP(U59,pxcopeau,$D59-2010,FALSE)*T59</f>
        <v>0</v>
      </c>
      <c r="X59" t="str">
        <f t="shared" si="52"/>
        <v>SO</v>
      </c>
      <c r="Y59">
        <f t="shared" si="53"/>
        <v>0</v>
      </c>
      <c r="Z59">
        <f t="shared" si="54"/>
        <v>0</v>
      </c>
      <c r="AA59" t="str">
        <f t="shared" si="55"/>
        <v>Marché 1</v>
      </c>
      <c r="AB59">
        <f>VLOOKUP(AA59,pxmassif,$D59-2010,FALSE)*Y59</f>
        <v>0</v>
      </c>
      <c r="AC59">
        <f>VLOOKUP(AA59,pxcopeau,$D59-2010,FALSE)*Z59</f>
        <v>0</v>
      </c>
      <c r="AD59">
        <f t="shared" si="25"/>
        <v>10.499999999999998</v>
      </c>
      <c r="AE59">
        <f t="shared" si="26"/>
        <v>11.549999999999999</v>
      </c>
      <c r="AF59">
        <f t="shared" si="27"/>
        <v>22.049999999999997</v>
      </c>
      <c r="AG59">
        <f t="shared" si="28"/>
        <v>0</v>
      </c>
      <c r="AH59">
        <f t="shared" si="29"/>
        <v>0</v>
      </c>
      <c r="AI59">
        <f t="shared" si="30"/>
        <v>10.499999999999998</v>
      </c>
      <c r="AJ59">
        <f t="shared" si="31"/>
        <v>11.549999999999999</v>
      </c>
      <c r="AK59">
        <f t="shared" si="56"/>
        <v>20.692349999999998</v>
      </c>
      <c r="AL59">
        <f t="shared" si="57"/>
        <v>0</v>
      </c>
      <c r="AM59">
        <f>IFERROR(MIN(AL59,VLOOKUP(CONCATENATE(C59,"-to lingot"),negchutes,D59-2007,FALSE)),0)</f>
        <v>0</v>
      </c>
      <c r="AN59">
        <f t="shared" si="32"/>
        <v>0</v>
      </c>
      <c r="AO59" t="str">
        <f t="shared" si="62"/>
        <v>SO</v>
      </c>
      <c r="AP59">
        <f>IF(AR59=0,0,IFERROR(VLOOKUP(CONCATENATE($C59,"-to massif"),negchutes,$D59-2007,FALSE),0)*AM59/AR59)</f>
        <v>0</v>
      </c>
      <c r="AQ59">
        <f>IF(AR59=0,0,IFERROR(VLOOKUP(CONCATENATE($C59,"-to copeaux"),negchutes,$D59-2007,FALSE),0)*AM59/AR59)</f>
        <v>0</v>
      </c>
      <c r="AR59">
        <f>IFERROR(VLOOKUP(CONCATENATE($C59,"-to lingot"),negchutes,$D59-2007,FALSE),0)</f>
        <v>0</v>
      </c>
      <c r="AS59">
        <f>IF(AR59=0,0,AP59*VLOOKUP(CONCATENATE($C59,"-ac massif"),negchutes,$D59-2007,FALSE))</f>
        <v>0</v>
      </c>
      <c r="AT59">
        <f>IF(AR59=0,0,AQ59*VLOOKUP(CONCATENATE($C59,"-ac copeaux"),negchutes,$D59-2007,FALSE))</f>
        <v>0</v>
      </c>
      <c r="AU59">
        <f t="shared" si="58"/>
        <v>0</v>
      </c>
      <c r="AV59">
        <f>IFERROR(VLOOKUP(CONCATENATE(C59,"-px lingot"),negchutes,D59-2007,FALSE),0)*AM59</f>
        <v>0</v>
      </c>
      <c r="AW59">
        <f>AN59*VLOOKUP("Marché 1",pxlingot,D59-2010,FALSE)</f>
        <v>0</v>
      </c>
      <c r="AX59">
        <f t="shared" si="34"/>
        <v>0</v>
      </c>
      <c r="AY59" t="str">
        <f t="shared" si="59"/>
        <v>VAR</v>
      </c>
      <c r="AZ59">
        <f t="shared" si="60"/>
        <v>20.692349999999998</v>
      </c>
      <c r="BA59">
        <f>MAX(VLOOKUP(VLOOKUP(C59,descmarche,28,FALSE),pxlingot,D59-2010,FALSE),AX59)</f>
        <v>0</v>
      </c>
      <c r="BB59">
        <f t="shared" si="35"/>
        <v>0</v>
      </c>
      <c r="BC59" t="str">
        <f t="shared" si="61"/>
        <v>SO</v>
      </c>
    </row>
    <row r="60" spans="1:55" x14ac:dyDescent="0.25">
      <c r="A60" t="s">
        <v>16</v>
      </c>
      <c r="B60" s="4" t="s">
        <v>46</v>
      </c>
      <c r="C60" t="str">
        <f t="shared" si="64"/>
        <v>UKTMP-05</v>
      </c>
      <c r="D60">
        <v>2017</v>
      </c>
      <c r="E60">
        <v>300</v>
      </c>
      <c r="F60" t="str">
        <f t="shared" si="1"/>
        <v>Motoristes Pièces</v>
      </c>
      <c r="G60" t="str">
        <f t="shared" si="39"/>
        <v>Motoristes Pièces source UKTMP</v>
      </c>
      <c r="H60">
        <f t="shared" si="40"/>
        <v>0</v>
      </c>
      <c r="I60">
        <f t="shared" si="41"/>
        <v>5</v>
      </c>
      <c r="J60">
        <f t="shared" si="42"/>
        <v>1210</v>
      </c>
      <c r="K60">
        <f t="shared" si="43"/>
        <v>300</v>
      </c>
      <c r="L60">
        <f t="shared" si="44"/>
        <v>363</v>
      </c>
      <c r="M60">
        <f t="shared" si="45"/>
        <v>15.749999999999996</v>
      </c>
      <c r="N60">
        <f t="shared" si="46"/>
        <v>17.324999999999999</v>
      </c>
      <c r="O60" t="str">
        <f t="shared" si="47"/>
        <v>Marché 1</v>
      </c>
      <c r="P60">
        <f>VLOOKUP(O60,pxmassif,D60-2010,FALSE)*M60</f>
        <v>196.87499999999994</v>
      </c>
      <c r="Q60">
        <f>VLOOKUP(O60,pxcopeau,D60-2010,FALSE)*N60</f>
        <v>129.9375</v>
      </c>
      <c r="R60" t="str">
        <f t="shared" si="48"/>
        <v>SO</v>
      </c>
      <c r="S60">
        <f t="shared" si="49"/>
        <v>0</v>
      </c>
      <c r="T60">
        <f t="shared" si="50"/>
        <v>0</v>
      </c>
      <c r="U60" t="str">
        <f t="shared" si="51"/>
        <v>Marché 1</v>
      </c>
      <c r="V60">
        <f>VLOOKUP(U60,pxmassif,$D60-2010,FALSE)*S60</f>
        <v>0</v>
      </c>
      <c r="W60">
        <f>VLOOKUP(U60,pxcopeau,$D60-2010,FALSE)*T60</f>
        <v>0</v>
      </c>
      <c r="X60" t="str">
        <f t="shared" si="52"/>
        <v>SO</v>
      </c>
      <c r="Y60">
        <f t="shared" si="53"/>
        <v>0</v>
      </c>
      <c r="Z60">
        <f t="shared" si="54"/>
        <v>0</v>
      </c>
      <c r="AA60" t="str">
        <f t="shared" si="55"/>
        <v>Marché 1</v>
      </c>
      <c r="AB60">
        <f>VLOOKUP(AA60,pxmassif,$D60-2010,FALSE)*Y60</f>
        <v>0</v>
      </c>
      <c r="AC60">
        <f>VLOOKUP(AA60,pxcopeau,$D60-2010,FALSE)*Z60</f>
        <v>0</v>
      </c>
      <c r="AD60">
        <f t="shared" si="25"/>
        <v>15.749999999999996</v>
      </c>
      <c r="AE60">
        <f t="shared" si="26"/>
        <v>17.324999999999999</v>
      </c>
      <c r="AF60">
        <f t="shared" si="27"/>
        <v>33.074999999999996</v>
      </c>
      <c r="AG60">
        <f t="shared" si="28"/>
        <v>0</v>
      </c>
      <c r="AH60">
        <f t="shared" si="29"/>
        <v>0</v>
      </c>
      <c r="AI60">
        <f t="shared" si="30"/>
        <v>15.749999999999996</v>
      </c>
      <c r="AJ60">
        <f t="shared" si="31"/>
        <v>17.324999999999999</v>
      </c>
      <c r="AK60">
        <f t="shared" si="56"/>
        <v>31.038524999999996</v>
      </c>
      <c r="AL60">
        <f t="shared" si="57"/>
        <v>0</v>
      </c>
      <c r="AM60">
        <f>IFERROR(MIN(AL60,VLOOKUP(CONCATENATE(C60,"-to lingot"),negchutes,D60-2007,FALSE)),0)</f>
        <v>0</v>
      </c>
      <c r="AN60">
        <f t="shared" si="32"/>
        <v>0</v>
      </c>
      <c r="AO60" t="str">
        <f t="shared" si="62"/>
        <v>SO</v>
      </c>
      <c r="AP60">
        <f>IF(AR60=0,0,IFERROR(VLOOKUP(CONCATENATE($C60,"-to massif"),negchutes,$D60-2007,FALSE),0)*AM60/AR60)</f>
        <v>0</v>
      </c>
      <c r="AQ60">
        <f>IF(AR60=0,0,IFERROR(VLOOKUP(CONCATENATE($C60,"-to copeaux"),negchutes,$D60-2007,FALSE),0)*AM60/AR60)</f>
        <v>0</v>
      </c>
      <c r="AR60">
        <f>IFERROR(VLOOKUP(CONCATENATE($C60,"-to lingot"),negchutes,$D60-2007,FALSE),0)</f>
        <v>0</v>
      </c>
      <c r="AS60">
        <f>IF(AR60=0,0,AP60*VLOOKUP(CONCATENATE($C60,"-ac massif"),negchutes,$D60-2007,FALSE))</f>
        <v>0</v>
      </c>
      <c r="AT60">
        <f>IF(AR60=0,0,AQ60*VLOOKUP(CONCATENATE($C60,"-ac copeaux"),negchutes,$D60-2007,FALSE))</f>
        <v>0</v>
      </c>
      <c r="AU60">
        <f t="shared" si="58"/>
        <v>0</v>
      </c>
      <c r="AV60">
        <f>IFERROR(VLOOKUP(CONCATENATE(C60,"-px lingot"),negchutes,D60-2007,FALSE),0)*AM60</f>
        <v>0</v>
      </c>
      <c r="AW60">
        <f>AN60*VLOOKUP("Marché 1",pxlingot,D60-2010,FALSE)</f>
        <v>0</v>
      </c>
      <c r="AX60">
        <f t="shared" si="34"/>
        <v>0</v>
      </c>
      <c r="AY60" t="str">
        <f t="shared" si="59"/>
        <v>VAR</v>
      </c>
      <c r="AZ60">
        <f t="shared" si="60"/>
        <v>31.038524999999993</v>
      </c>
      <c r="BA60">
        <f>MAX(VLOOKUP(VLOOKUP(C60,descmarche,28,FALSE),pxlingot,D60-2010,FALSE),AX60)</f>
        <v>0</v>
      </c>
      <c r="BB60">
        <f t="shared" si="35"/>
        <v>0</v>
      </c>
      <c r="BC60" t="str">
        <f t="shared" si="61"/>
        <v>SO</v>
      </c>
    </row>
    <row r="61" spans="1:55" x14ac:dyDescent="0.25">
      <c r="A61" t="s">
        <v>16</v>
      </c>
      <c r="B61" s="4" t="s">
        <v>46</v>
      </c>
      <c r="C61" t="str">
        <f t="shared" si="64"/>
        <v>UKTMP-05</v>
      </c>
      <c r="D61">
        <v>2018</v>
      </c>
      <c r="E61">
        <v>600</v>
      </c>
      <c r="F61" t="str">
        <f t="shared" si="1"/>
        <v>Motoristes Pièces</v>
      </c>
      <c r="G61" t="str">
        <f t="shared" si="39"/>
        <v>Motoristes Pièces source UKTMP</v>
      </c>
      <c r="H61">
        <f t="shared" si="40"/>
        <v>0</v>
      </c>
      <c r="I61">
        <f t="shared" si="41"/>
        <v>5</v>
      </c>
      <c r="J61">
        <f t="shared" si="42"/>
        <v>1210</v>
      </c>
      <c r="K61">
        <f t="shared" si="43"/>
        <v>600</v>
      </c>
      <c r="L61">
        <f t="shared" si="44"/>
        <v>726</v>
      </c>
      <c r="M61">
        <f t="shared" si="45"/>
        <v>31.499999999999993</v>
      </c>
      <c r="N61">
        <f t="shared" si="46"/>
        <v>34.65</v>
      </c>
      <c r="O61" t="str">
        <f t="shared" si="47"/>
        <v>Marché 1</v>
      </c>
      <c r="P61">
        <f>VLOOKUP(O61,pxmassif,D61-2010,FALSE)*M61</f>
        <v>393.74999999999989</v>
      </c>
      <c r="Q61">
        <f>VLOOKUP(O61,pxcopeau,D61-2010,FALSE)*N61</f>
        <v>259.875</v>
      </c>
      <c r="R61" t="str">
        <f t="shared" si="48"/>
        <v>SO</v>
      </c>
      <c r="S61">
        <f t="shared" si="49"/>
        <v>0</v>
      </c>
      <c r="T61">
        <f t="shared" si="50"/>
        <v>0</v>
      </c>
      <c r="U61" t="str">
        <f t="shared" si="51"/>
        <v>Marché 1</v>
      </c>
      <c r="V61">
        <f>VLOOKUP(U61,pxmassif,$D61-2010,FALSE)*S61</f>
        <v>0</v>
      </c>
      <c r="W61">
        <f>VLOOKUP(U61,pxcopeau,$D61-2010,FALSE)*T61</f>
        <v>0</v>
      </c>
      <c r="X61" t="str">
        <f t="shared" si="52"/>
        <v>SO</v>
      </c>
      <c r="Y61">
        <f t="shared" si="53"/>
        <v>0</v>
      </c>
      <c r="Z61">
        <f t="shared" si="54"/>
        <v>0</v>
      </c>
      <c r="AA61" t="str">
        <f t="shared" si="55"/>
        <v>Marché 1</v>
      </c>
      <c r="AB61">
        <f>VLOOKUP(AA61,pxmassif,$D61-2010,FALSE)*Y61</f>
        <v>0</v>
      </c>
      <c r="AC61">
        <f>VLOOKUP(AA61,pxcopeau,$D61-2010,FALSE)*Z61</f>
        <v>0</v>
      </c>
      <c r="AD61">
        <f t="shared" si="25"/>
        <v>31.499999999999993</v>
      </c>
      <c r="AE61">
        <f t="shared" si="26"/>
        <v>34.65</v>
      </c>
      <c r="AF61">
        <f t="shared" si="27"/>
        <v>66.149999999999991</v>
      </c>
      <c r="AG61">
        <f t="shared" si="28"/>
        <v>0</v>
      </c>
      <c r="AH61">
        <f t="shared" si="29"/>
        <v>0</v>
      </c>
      <c r="AI61">
        <f t="shared" si="30"/>
        <v>31.499999999999993</v>
      </c>
      <c r="AJ61">
        <f t="shared" si="31"/>
        <v>34.65</v>
      </c>
      <c r="AK61">
        <f t="shared" si="56"/>
        <v>62.077049999999993</v>
      </c>
      <c r="AL61">
        <f t="shared" si="57"/>
        <v>0</v>
      </c>
      <c r="AM61">
        <f>IFERROR(MIN(AL61,VLOOKUP(CONCATENATE(C61,"-to lingot"),negchutes,D61-2007,FALSE)),0)</f>
        <v>0</v>
      </c>
      <c r="AN61">
        <f t="shared" si="32"/>
        <v>0</v>
      </c>
      <c r="AO61" t="str">
        <f t="shared" si="62"/>
        <v>SO</v>
      </c>
      <c r="AP61">
        <f>IF(AR61=0,0,IFERROR(VLOOKUP(CONCATENATE($C61,"-to massif"),negchutes,$D61-2007,FALSE),0)*AM61/AR61)</f>
        <v>0</v>
      </c>
      <c r="AQ61">
        <f>IF(AR61=0,0,IFERROR(VLOOKUP(CONCATENATE($C61,"-to copeaux"),negchutes,$D61-2007,FALSE),0)*AM61/AR61)</f>
        <v>0</v>
      </c>
      <c r="AR61">
        <f>IFERROR(VLOOKUP(CONCATENATE($C61,"-to lingot"),negchutes,$D61-2007,FALSE),0)</f>
        <v>0</v>
      </c>
      <c r="AS61">
        <f>IF(AR61=0,0,AP61*VLOOKUP(CONCATENATE($C61,"-ac massif"),negchutes,$D61-2007,FALSE))</f>
        <v>0</v>
      </c>
      <c r="AT61">
        <f>IF(AR61=0,0,AQ61*VLOOKUP(CONCATENATE($C61,"-ac copeaux"),negchutes,$D61-2007,FALSE))</f>
        <v>0</v>
      </c>
      <c r="AU61">
        <f t="shared" si="58"/>
        <v>0</v>
      </c>
      <c r="AV61">
        <f>IFERROR(VLOOKUP(CONCATENATE(C61,"-px lingot"),negchutes,D61-2007,FALSE),0)*AM61</f>
        <v>0</v>
      </c>
      <c r="AW61">
        <f>AN61*VLOOKUP("Marché 1",pxlingot,D61-2010,FALSE)</f>
        <v>0</v>
      </c>
      <c r="AX61">
        <f t="shared" si="34"/>
        <v>0</v>
      </c>
      <c r="AY61" t="str">
        <f t="shared" si="59"/>
        <v>VAR</v>
      </c>
      <c r="AZ61">
        <f t="shared" si="60"/>
        <v>62.077049999999986</v>
      </c>
      <c r="BA61">
        <f>MAX(VLOOKUP(VLOOKUP(C61,descmarche,28,FALSE),pxlingot,D61-2010,FALSE),AX61)</f>
        <v>0</v>
      </c>
      <c r="BB61">
        <f t="shared" si="35"/>
        <v>0</v>
      </c>
      <c r="BC61" t="str">
        <f t="shared" si="61"/>
        <v>SO</v>
      </c>
    </row>
    <row r="62" spans="1:55" x14ac:dyDescent="0.25">
      <c r="A62" t="s">
        <v>16</v>
      </c>
      <c r="B62" s="4" t="s">
        <v>46</v>
      </c>
      <c r="C62" t="str">
        <f t="shared" si="64"/>
        <v>UKTMP-05</v>
      </c>
      <c r="D62">
        <v>2019</v>
      </c>
      <c r="E62">
        <v>800</v>
      </c>
      <c r="F62" t="str">
        <f t="shared" si="1"/>
        <v>Motoristes Pièces</v>
      </c>
      <c r="G62" t="str">
        <f t="shared" si="39"/>
        <v>Motoristes Pièces source UKTMP</v>
      </c>
      <c r="H62">
        <f t="shared" si="40"/>
        <v>0</v>
      </c>
      <c r="I62">
        <f t="shared" si="41"/>
        <v>5</v>
      </c>
      <c r="J62">
        <f t="shared" si="42"/>
        <v>1210</v>
      </c>
      <c r="K62">
        <f t="shared" si="43"/>
        <v>800</v>
      </c>
      <c r="L62">
        <f t="shared" si="44"/>
        <v>968</v>
      </c>
      <c r="M62">
        <f t="shared" si="45"/>
        <v>41.999999999999993</v>
      </c>
      <c r="N62">
        <f t="shared" si="46"/>
        <v>46.199999999999996</v>
      </c>
      <c r="O62" t="str">
        <f t="shared" si="47"/>
        <v>Marché 1</v>
      </c>
      <c r="P62">
        <f>VLOOKUP(O62,pxmassif,D62-2010,FALSE)*M62</f>
        <v>524.99999999999989</v>
      </c>
      <c r="Q62">
        <f>VLOOKUP(O62,pxcopeau,D62-2010,FALSE)*N62</f>
        <v>346.49999999999994</v>
      </c>
      <c r="R62" t="str">
        <f t="shared" si="48"/>
        <v>SO</v>
      </c>
      <c r="S62">
        <f t="shared" si="49"/>
        <v>0</v>
      </c>
      <c r="T62">
        <f t="shared" si="50"/>
        <v>0</v>
      </c>
      <c r="U62" t="str">
        <f t="shared" si="51"/>
        <v>Marché 1</v>
      </c>
      <c r="V62">
        <f>VLOOKUP(U62,pxmassif,$D62-2010,FALSE)*S62</f>
        <v>0</v>
      </c>
      <c r="W62">
        <f>VLOOKUP(U62,pxcopeau,$D62-2010,FALSE)*T62</f>
        <v>0</v>
      </c>
      <c r="X62" t="str">
        <f t="shared" si="52"/>
        <v>SO</v>
      </c>
      <c r="Y62">
        <f t="shared" si="53"/>
        <v>0</v>
      </c>
      <c r="Z62">
        <f t="shared" si="54"/>
        <v>0</v>
      </c>
      <c r="AA62" t="str">
        <f t="shared" si="55"/>
        <v>Marché 1</v>
      </c>
      <c r="AB62">
        <f>VLOOKUP(AA62,pxmassif,$D62-2010,FALSE)*Y62</f>
        <v>0</v>
      </c>
      <c r="AC62">
        <f>VLOOKUP(AA62,pxcopeau,$D62-2010,FALSE)*Z62</f>
        <v>0</v>
      </c>
      <c r="AD62">
        <f t="shared" si="25"/>
        <v>41.999999999999993</v>
      </c>
      <c r="AE62">
        <f t="shared" si="26"/>
        <v>46.199999999999996</v>
      </c>
      <c r="AF62">
        <f t="shared" si="27"/>
        <v>88.199999999999989</v>
      </c>
      <c r="AG62">
        <f t="shared" si="28"/>
        <v>0</v>
      </c>
      <c r="AH62">
        <f t="shared" si="29"/>
        <v>0</v>
      </c>
      <c r="AI62">
        <f t="shared" si="30"/>
        <v>41.999999999999993</v>
      </c>
      <c r="AJ62">
        <f t="shared" si="31"/>
        <v>46.199999999999996</v>
      </c>
      <c r="AK62">
        <f t="shared" si="56"/>
        <v>82.76939999999999</v>
      </c>
      <c r="AL62">
        <f t="shared" si="57"/>
        <v>0</v>
      </c>
      <c r="AM62">
        <f>IFERROR(MIN(AL62,VLOOKUP(CONCATENATE(C62,"-to lingot"),negchutes,D62-2007,FALSE)),0)</f>
        <v>0</v>
      </c>
      <c r="AN62">
        <f t="shared" si="32"/>
        <v>0</v>
      </c>
      <c r="AO62" t="str">
        <f t="shared" si="62"/>
        <v>SO</v>
      </c>
      <c r="AP62">
        <f>IF(AR62=0,0,IFERROR(VLOOKUP(CONCATENATE($C62,"-to massif"),negchutes,$D62-2007,FALSE),0)*AM62/AR62)</f>
        <v>0</v>
      </c>
      <c r="AQ62">
        <f>IF(AR62=0,0,IFERROR(VLOOKUP(CONCATENATE($C62,"-to copeaux"),negchutes,$D62-2007,FALSE),0)*AM62/AR62)</f>
        <v>0</v>
      </c>
      <c r="AR62">
        <f>IFERROR(VLOOKUP(CONCATENATE($C62,"-to lingot"),negchutes,$D62-2007,FALSE),0)</f>
        <v>0</v>
      </c>
      <c r="AS62">
        <f>IF(AR62=0,0,AP62*VLOOKUP(CONCATENATE($C62,"-ac massif"),negchutes,$D62-2007,FALSE))</f>
        <v>0</v>
      </c>
      <c r="AT62">
        <f>IF(AR62=0,0,AQ62*VLOOKUP(CONCATENATE($C62,"-ac copeaux"),negchutes,$D62-2007,FALSE))</f>
        <v>0</v>
      </c>
      <c r="AU62">
        <f t="shared" si="58"/>
        <v>0</v>
      </c>
      <c r="AV62">
        <f>IFERROR(VLOOKUP(CONCATENATE(C62,"-px lingot"),negchutes,D62-2007,FALSE),0)*AM62</f>
        <v>0</v>
      </c>
      <c r="AW62">
        <f>AN62*VLOOKUP("Marché 1",pxlingot,D62-2010,FALSE)</f>
        <v>0</v>
      </c>
      <c r="AX62">
        <f t="shared" si="34"/>
        <v>0</v>
      </c>
      <c r="AY62" t="str">
        <f t="shared" si="59"/>
        <v>VAR</v>
      </c>
      <c r="AZ62">
        <f t="shared" si="60"/>
        <v>82.76939999999999</v>
      </c>
      <c r="BA62">
        <f>MAX(VLOOKUP(VLOOKUP(C62,descmarche,28,FALSE),pxlingot,D62-2010,FALSE),AX62)</f>
        <v>0</v>
      </c>
      <c r="BB62">
        <f t="shared" si="35"/>
        <v>0</v>
      </c>
      <c r="BC62" t="str">
        <f t="shared" si="61"/>
        <v>SO</v>
      </c>
    </row>
    <row r="63" spans="1:55" x14ac:dyDescent="0.25">
      <c r="A63" t="s">
        <v>16</v>
      </c>
      <c r="B63" s="4" t="s">
        <v>46</v>
      </c>
      <c r="C63" t="str">
        <f t="shared" si="64"/>
        <v>UKTMP-05</v>
      </c>
      <c r="D63">
        <v>2020</v>
      </c>
      <c r="E63">
        <v>1100</v>
      </c>
      <c r="F63" t="str">
        <f t="shared" si="1"/>
        <v>Motoristes Pièces</v>
      </c>
      <c r="G63" t="str">
        <f t="shared" si="39"/>
        <v>Motoristes Pièces source UKTMP</v>
      </c>
      <c r="H63">
        <f t="shared" si="40"/>
        <v>0</v>
      </c>
      <c r="I63">
        <f t="shared" si="41"/>
        <v>5</v>
      </c>
      <c r="J63">
        <f t="shared" si="42"/>
        <v>1210</v>
      </c>
      <c r="K63">
        <f t="shared" si="43"/>
        <v>1100</v>
      </c>
      <c r="L63">
        <f t="shared" si="44"/>
        <v>1331</v>
      </c>
      <c r="M63">
        <f t="shared" si="45"/>
        <v>57.749999999999993</v>
      </c>
      <c r="N63">
        <f t="shared" si="46"/>
        <v>63.524999999999999</v>
      </c>
      <c r="O63" t="str">
        <f t="shared" si="47"/>
        <v>Marché 1</v>
      </c>
      <c r="P63">
        <f>VLOOKUP(O63,pxmassif,D63-2010,FALSE)*M63</f>
        <v>721.87499999999989</v>
      </c>
      <c r="Q63">
        <f>VLOOKUP(O63,pxcopeau,D63-2010,FALSE)*N63</f>
        <v>476.4375</v>
      </c>
      <c r="R63" t="str">
        <f t="shared" si="48"/>
        <v>SO</v>
      </c>
      <c r="S63">
        <f t="shared" si="49"/>
        <v>0</v>
      </c>
      <c r="T63">
        <f t="shared" si="50"/>
        <v>0</v>
      </c>
      <c r="U63" t="str">
        <f t="shared" si="51"/>
        <v>Marché 1</v>
      </c>
      <c r="V63">
        <f>VLOOKUP(U63,pxmassif,$D63-2010,FALSE)*S63</f>
        <v>0</v>
      </c>
      <c r="W63">
        <f>VLOOKUP(U63,pxcopeau,$D63-2010,FALSE)*T63</f>
        <v>0</v>
      </c>
      <c r="X63" t="str">
        <f t="shared" si="52"/>
        <v>SO</v>
      </c>
      <c r="Y63">
        <f t="shared" si="53"/>
        <v>0</v>
      </c>
      <c r="Z63">
        <f t="shared" si="54"/>
        <v>0</v>
      </c>
      <c r="AA63" t="str">
        <f t="shared" si="55"/>
        <v>Marché 1</v>
      </c>
      <c r="AB63">
        <f>VLOOKUP(AA63,pxmassif,$D63-2010,FALSE)*Y63</f>
        <v>0</v>
      </c>
      <c r="AC63">
        <f>VLOOKUP(AA63,pxcopeau,$D63-2010,FALSE)*Z63</f>
        <v>0</v>
      </c>
      <c r="AD63">
        <f t="shared" si="25"/>
        <v>57.749999999999993</v>
      </c>
      <c r="AE63">
        <f t="shared" si="26"/>
        <v>63.524999999999999</v>
      </c>
      <c r="AF63">
        <f t="shared" si="27"/>
        <v>121.27499999999999</v>
      </c>
      <c r="AG63">
        <f t="shared" si="28"/>
        <v>0</v>
      </c>
      <c r="AH63">
        <f t="shared" si="29"/>
        <v>0</v>
      </c>
      <c r="AI63">
        <f t="shared" si="30"/>
        <v>57.749999999999993</v>
      </c>
      <c r="AJ63">
        <f t="shared" si="31"/>
        <v>63.524999999999999</v>
      </c>
      <c r="AK63">
        <f t="shared" si="56"/>
        <v>113.807925</v>
      </c>
      <c r="AL63">
        <f t="shared" si="57"/>
        <v>0</v>
      </c>
      <c r="AM63">
        <f>IFERROR(MIN(AL63,VLOOKUP(CONCATENATE(C63,"-to lingot"),negchutes,D63-2007,FALSE)),0)</f>
        <v>0</v>
      </c>
      <c r="AN63">
        <f t="shared" si="32"/>
        <v>0</v>
      </c>
      <c r="AO63" t="str">
        <f t="shared" si="62"/>
        <v>SO</v>
      </c>
      <c r="AP63">
        <f>IF(AR63=0,0,IFERROR(VLOOKUP(CONCATENATE($C63,"-to massif"),negchutes,$D63-2007,FALSE),0)*AM63/AR63)</f>
        <v>0</v>
      </c>
      <c r="AQ63">
        <f>IF(AR63=0,0,IFERROR(VLOOKUP(CONCATENATE($C63,"-to copeaux"),negchutes,$D63-2007,FALSE),0)*AM63/AR63)</f>
        <v>0</v>
      </c>
      <c r="AR63">
        <f>IFERROR(VLOOKUP(CONCATENATE($C63,"-to lingot"),negchutes,$D63-2007,FALSE),0)</f>
        <v>0</v>
      </c>
      <c r="AS63">
        <f>IF(AR63=0,0,AP63*VLOOKUP(CONCATENATE($C63,"-ac massif"),negchutes,$D63-2007,FALSE))</f>
        <v>0</v>
      </c>
      <c r="AT63">
        <f>IF(AR63=0,0,AQ63*VLOOKUP(CONCATENATE($C63,"-ac copeaux"),negchutes,$D63-2007,FALSE))</f>
        <v>0</v>
      </c>
      <c r="AU63">
        <f t="shared" si="58"/>
        <v>0</v>
      </c>
      <c r="AV63">
        <f>IFERROR(VLOOKUP(CONCATENATE(C63,"-px lingot"),negchutes,D63-2007,FALSE),0)*AM63</f>
        <v>0</v>
      </c>
      <c r="AW63">
        <f>AN63*VLOOKUP("Marché 1",pxlingot,D63-2010,FALSE)</f>
        <v>0</v>
      </c>
      <c r="AX63">
        <f t="shared" si="34"/>
        <v>0</v>
      </c>
      <c r="AY63" t="str">
        <f t="shared" si="59"/>
        <v>VAR</v>
      </c>
      <c r="AZ63">
        <f t="shared" si="60"/>
        <v>113.807925</v>
      </c>
      <c r="BA63">
        <f>MAX(VLOOKUP(VLOOKUP(C63,descmarche,28,FALSE),pxlingot,D63-2010,FALSE),AX63)</f>
        <v>0</v>
      </c>
      <c r="BB63">
        <f t="shared" si="35"/>
        <v>0</v>
      </c>
      <c r="BC63" t="str">
        <f t="shared" si="61"/>
        <v>SO</v>
      </c>
    </row>
    <row r="64" spans="1:55" x14ac:dyDescent="0.25">
      <c r="A64" t="s">
        <v>16</v>
      </c>
      <c r="B64" s="4" t="s">
        <v>46</v>
      </c>
      <c r="C64" t="str">
        <f t="shared" si="64"/>
        <v>UKTMP-05</v>
      </c>
      <c r="D64">
        <v>2021</v>
      </c>
      <c r="E64">
        <v>1100</v>
      </c>
      <c r="F64" t="str">
        <f t="shared" si="1"/>
        <v>Motoristes Pièces</v>
      </c>
      <c r="G64" t="str">
        <f t="shared" si="39"/>
        <v>Motoristes Pièces source UKTMP</v>
      </c>
      <c r="H64">
        <f t="shared" si="40"/>
        <v>0</v>
      </c>
      <c r="I64">
        <f t="shared" si="41"/>
        <v>5</v>
      </c>
      <c r="J64">
        <f t="shared" si="42"/>
        <v>1210</v>
      </c>
      <c r="K64">
        <f t="shared" si="43"/>
        <v>1100</v>
      </c>
      <c r="L64">
        <f t="shared" si="44"/>
        <v>1331</v>
      </c>
      <c r="M64">
        <f t="shared" si="45"/>
        <v>57.749999999999993</v>
      </c>
      <c r="N64">
        <f t="shared" si="46"/>
        <v>63.524999999999999</v>
      </c>
      <c r="O64" t="str">
        <f t="shared" si="47"/>
        <v>Marché 1</v>
      </c>
      <c r="P64">
        <f>VLOOKUP(O64,pxmassif,D64-2010,FALSE)*M64</f>
        <v>721.87499999999989</v>
      </c>
      <c r="Q64">
        <f>VLOOKUP(O64,pxcopeau,D64-2010,FALSE)*N64</f>
        <v>476.4375</v>
      </c>
      <c r="R64" t="str">
        <f t="shared" si="48"/>
        <v>SO</v>
      </c>
      <c r="S64">
        <f t="shared" si="49"/>
        <v>0</v>
      </c>
      <c r="T64">
        <f t="shared" si="50"/>
        <v>0</v>
      </c>
      <c r="U64" t="str">
        <f t="shared" si="51"/>
        <v>Marché 1</v>
      </c>
      <c r="V64">
        <f>VLOOKUP(U64,pxmassif,$D64-2010,FALSE)*S64</f>
        <v>0</v>
      </c>
      <c r="W64">
        <f>VLOOKUP(U64,pxcopeau,$D64-2010,FALSE)*T64</f>
        <v>0</v>
      </c>
      <c r="X64" t="str">
        <f t="shared" si="52"/>
        <v>SO</v>
      </c>
      <c r="Y64">
        <f t="shared" si="53"/>
        <v>0</v>
      </c>
      <c r="Z64">
        <f t="shared" si="54"/>
        <v>0</v>
      </c>
      <c r="AA64" t="str">
        <f t="shared" si="55"/>
        <v>Marché 1</v>
      </c>
      <c r="AB64">
        <f>VLOOKUP(AA64,pxmassif,$D64-2010,FALSE)*Y64</f>
        <v>0</v>
      </c>
      <c r="AC64">
        <f>VLOOKUP(AA64,pxcopeau,$D64-2010,FALSE)*Z64</f>
        <v>0</v>
      </c>
      <c r="AD64">
        <f t="shared" si="25"/>
        <v>57.749999999999993</v>
      </c>
      <c r="AE64">
        <f t="shared" si="26"/>
        <v>63.524999999999999</v>
      </c>
      <c r="AF64">
        <f t="shared" si="27"/>
        <v>121.27499999999999</v>
      </c>
      <c r="AG64">
        <f t="shared" si="28"/>
        <v>0</v>
      </c>
      <c r="AH64">
        <f t="shared" si="29"/>
        <v>0</v>
      </c>
      <c r="AI64">
        <f t="shared" si="30"/>
        <v>57.749999999999993</v>
      </c>
      <c r="AJ64">
        <f t="shared" si="31"/>
        <v>63.524999999999999</v>
      </c>
      <c r="AK64">
        <f t="shared" si="56"/>
        <v>113.807925</v>
      </c>
      <c r="AL64">
        <f t="shared" si="57"/>
        <v>0</v>
      </c>
      <c r="AM64">
        <f>IFERROR(MIN(AL64,VLOOKUP(CONCATENATE(C64,"-to lingot"),negchutes,D64-2007,FALSE)),0)</f>
        <v>0</v>
      </c>
      <c r="AN64">
        <f t="shared" si="32"/>
        <v>0</v>
      </c>
      <c r="AO64" t="str">
        <f t="shared" si="62"/>
        <v>SO</v>
      </c>
      <c r="AP64">
        <f>IF(AR64=0,0,IFERROR(VLOOKUP(CONCATENATE($C64,"-to massif"),negchutes,$D64-2007,FALSE),0)*AM64/AR64)</f>
        <v>0</v>
      </c>
      <c r="AQ64">
        <f>IF(AR64=0,0,IFERROR(VLOOKUP(CONCATENATE($C64,"-to copeaux"),negchutes,$D64-2007,FALSE),0)*AM64/AR64)</f>
        <v>0</v>
      </c>
      <c r="AR64">
        <f>IFERROR(VLOOKUP(CONCATENATE($C64,"-to lingot"),negchutes,$D64-2007,FALSE),0)</f>
        <v>0</v>
      </c>
      <c r="AS64">
        <f>IF(AR64=0,0,AP64*VLOOKUP(CONCATENATE($C64,"-ac massif"),negchutes,$D64-2007,FALSE))</f>
        <v>0</v>
      </c>
      <c r="AT64">
        <f>IF(AR64=0,0,AQ64*VLOOKUP(CONCATENATE($C64,"-ac copeaux"),negchutes,$D64-2007,FALSE))</f>
        <v>0</v>
      </c>
      <c r="AU64">
        <f t="shared" si="58"/>
        <v>0</v>
      </c>
      <c r="AV64">
        <f>IFERROR(VLOOKUP(CONCATENATE(C64,"-px lingot"),negchutes,D64-2007,FALSE),0)*AM64</f>
        <v>0</v>
      </c>
      <c r="AW64">
        <f>AN64*VLOOKUP("Marché 1",pxlingot,D64-2010,FALSE)</f>
        <v>0</v>
      </c>
      <c r="AX64">
        <f t="shared" si="34"/>
        <v>0</v>
      </c>
      <c r="AY64" t="str">
        <f t="shared" si="59"/>
        <v>VAR</v>
      </c>
      <c r="AZ64">
        <f t="shared" si="60"/>
        <v>113.807925</v>
      </c>
      <c r="BA64">
        <f>MAX(VLOOKUP(VLOOKUP(C64,descmarche,28,FALSE),pxlingot,D64-2010,FALSE),AX64)</f>
        <v>0</v>
      </c>
      <c r="BB64">
        <f t="shared" si="35"/>
        <v>0</v>
      </c>
      <c r="BC64" t="str">
        <f t="shared" si="61"/>
        <v>SO</v>
      </c>
    </row>
    <row r="65" spans="1:55" x14ac:dyDescent="0.25">
      <c r="A65" t="s">
        <v>16</v>
      </c>
      <c r="B65" s="4" t="s">
        <v>46</v>
      </c>
      <c r="C65" t="str">
        <f t="shared" si="64"/>
        <v>UKTMP-05</v>
      </c>
      <c r="D65">
        <v>2022</v>
      </c>
      <c r="E65">
        <v>1100</v>
      </c>
      <c r="F65" t="str">
        <f t="shared" si="1"/>
        <v>Motoristes Pièces</v>
      </c>
      <c r="G65" t="str">
        <f t="shared" si="39"/>
        <v>Motoristes Pièces source UKTMP</v>
      </c>
      <c r="H65">
        <f t="shared" si="40"/>
        <v>0</v>
      </c>
      <c r="I65">
        <f t="shared" si="41"/>
        <v>5</v>
      </c>
      <c r="J65">
        <f t="shared" si="42"/>
        <v>1210</v>
      </c>
      <c r="K65">
        <f t="shared" si="43"/>
        <v>1100</v>
      </c>
      <c r="L65">
        <f t="shared" si="44"/>
        <v>1331</v>
      </c>
      <c r="M65">
        <f t="shared" si="45"/>
        <v>57.749999999999993</v>
      </c>
      <c r="N65">
        <f t="shared" si="46"/>
        <v>63.524999999999999</v>
      </c>
      <c r="O65" t="str">
        <f t="shared" si="47"/>
        <v>Marché 1</v>
      </c>
      <c r="P65">
        <f>VLOOKUP(O65,pxmassif,D65-2010,FALSE)*M65</f>
        <v>721.87499999999989</v>
      </c>
      <c r="Q65">
        <f>VLOOKUP(O65,pxcopeau,D65-2010,FALSE)*N65</f>
        <v>476.4375</v>
      </c>
      <c r="R65" t="str">
        <f t="shared" si="48"/>
        <v>SO</v>
      </c>
      <c r="S65">
        <f t="shared" si="49"/>
        <v>0</v>
      </c>
      <c r="T65">
        <f t="shared" si="50"/>
        <v>0</v>
      </c>
      <c r="U65" t="str">
        <f t="shared" si="51"/>
        <v>Marché 1</v>
      </c>
      <c r="V65">
        <f>VLOOKUP(U65,pxmassif,$D65-2010,FALSE)*S65</f>
        <v>0</v>
      </c>
      <c r="W65">
        <f>VLOOKUP(U65,pxcopeau,$D65-2010,FALSE)*T65</f>
        <v>0</v>
      </c>
      <c r="X65" t="str">
        <f t="shared" si="52"/>
        <v>SO</v>
      </c>
      <c r="Y65">
        <f t="shared" si="53"/>
        <v>0</v>
      </c>
      <c r="Z65">
        <f t="shared" si="54"/>
        <v>0</v>
      </c>
      <c r="AA65" t="str">
        <f t="shared" si="55"/>
        <v>Marché 1</v>
      </c>
      <c r="AB65">
        <f>VLOOKUP(AA65,pxmassif,$D65-2010,FALSE)*Y65</f>
        <v>0</v>
      </c>
      <c r="AC65">
        <f>VLOOKUP(AA65,pxcopeau,$D65-2010,FALSE)*Z65</f>
        <v>0</v>
      </c>
      <c r="AD65">
        <f t="shared" si="25"/>
        <v>57.749999999999993</v>
      </c>
      <c r="AE65">
        <f t="shared" si="26"/>
        <v>63.524999999999999</v>
      </c>
      <c r="AF65">
        <f t="shared" si="27"/>
        <v>121.27499999999999</v>
      </c>
      <c r="AG65">
        <f t="shared" si="28"/>
        <v>0</v>
      </c>
      <c r="AH65">
        <f t="shared" si="29"/>
        <v>0</v>
      </c>
      <c r="AI65">
        <f t="shared" si="30"/>
        <v>57.749999999999993</v>
      </c>
      <c r="AJ65">
        <f t="shared" si="31"/>
        <v>63.524999999999999</v>
      </c>
      <c r="AK65">
        <f t="shared" si="56"/>
        <v>113.807925</v>
      </c>
      <c r="AL65">
        <f t="shared" si="57"/>
        <v>0</v>
      </c>
      <c r="AM65">
        <f>IFERROR(MIN(AL65,VLOOKUP(CONCATENATE(C65,"-to lingot"),negchutes,D65-2007,FALSE)),0)</f>
        <v>0</v>
      </c>
      <c r="AN65">
        <f t="shared" si="32"/>
        <v>0</v>
      </c>
      <c r="AO65" t="str">
        <f t="shared" si="62"/>
        <v>SO</v>
      </c>
      <c r="AP65">
        <f>IF(AR65=0,0,IFERROR(VLOOKUP(CONCATENATE($C65,"-to massif"),negchutes,$D65-2007,FALSE),0)*AM65/AR65)</f>
        <v>0</v>
      </c>
      <c r="AQ65">
        <f>IF(AR65=0,0,IFERROR(VLOOKUP(CONCATENATE($C65,"-to copeaux"),negchutes,$D65-2007,FALSE),0)*AM65/AR65)</f>
        <v>0</v>
      </c>
      <c r="AR65">
        <f>IFERROR(VLOOKUP(CONCATENATE($C65,"-to lingot"),negchutes,$D65-2007,FALSE),0)</f>
        <v>0</v>
      </c>
      <c r="AS65">
        <f>IF(AR65=0,0,AP65*VLOOKUP(CONCATENATE($C65,"-ac massif"),negchutes,$D65-2007,FALSE))</f>
        <v>0</v>
      </c>
      <c r="AT65">
        <f>IF(AR65=0,0,AQ65*VLOOKUP(CONCATENATE($C65,"-ac copeaux"),negchutes,$D65-2007,FALSE))</f>
        <v>0</v>
      </c>
      <c r="AU65">
        <f t="shared" si="58"/>
        <v>0</v>
      </c>
      <c r="AV65">
        <f>IFERROR(VLOOKUP(CONCATENATE(C65,"-px lingot"),negchutes,D65-2007,FALSE),0)*AM65</f>
        <v>0</v>
      </c>
      <c r="AW65">
        <f>AN65*VLOOKUP("Marché 1",pxlingot,D65-2010,FALSE)</f>
        <v>0</v>
      </c>
      <c r="AX65">
        <f t="shared" si="34"/>
        <v>0</v>
      </c>
      <c r="AY65" t="str">
        <f t="shared" si="59"/>
        <v>VAR</v>
      </c>
      <c r="AZ65">
        <f t="shared" si="60"/>
        <v>113.807925</v>
      </c>
      <c r="BA65">
        <f>MAX(VLOOKUP(VLOOKUP(C65,descmarche,28,FALSE),pxlingot,D65-2010,FALSE),AX65)</f>
        <v>0</v>
      </c>
      <c r="BB65">
        <f t="shared" si="35"/>
        <v>0</v>
      </c>
      <c r="BC65" t="str">
        <f t="shared" si="61"/>
        <v>SO</v>
      </c>
    </row>
    <row r="66" spans="1:55" x14ac:dyDescent="0.25">
      <c r="A66" t="s">
        <v>16</v>
      </c>
      <c r="B66" s="4" t="s">
        <v>46</v>
      </c>
      <c r="C66" t="str">
        <f t="shared" si="64"/>
        <v>UKTMP-05</v>
      </c>
      <c r="D66">
        <v>2023</v>
      </c>
      <c r="E66">
        <v>1100</v>
      </c>
      <c r="F66" t="str">
        <f t="shared" si="1"/>
        <v>Motoristes Pièces</v>
      </c>
      <c r="G66" t="str">
        <f t="shared" si="39"/>
        <v>Motoristes Pièces source UKTMP</v>
      </c>
      <c r="H66">
        <f t="shared" si="40"/>
        <v>0</v>
      </c>
      <c r="I66">
        <f t="shared" si="41"/>
        <v>5</v>
      </c>
      <c r="J66">
        <f t="shared" si="42"/>
        <v>1210</v>
      </c>
      <c r="K66">
        <f t="shared" si="43"/>
        <v>1100</v>
      </c>
      <c r="L66">
        <f t="shared" si="44"/>
        <v>1331</v>
      </c>
      <c r="M66">
        <f t="shared" si="45"/>
        <v>57.749999999999993</v>
      </c>
      <c r="N66">
        <f t="shared" si="46"/>
        <v>63.524999999999999</v>
      </c>
      <c r="O66" t="str">
        <f t="shared" si="47"/>
        <v>Marché 1</v>
      </c>
      <c r="P66">
        <f>VLOOKUP(O66,pxmassif,D66-2010,FALSE)*M66</f>
        <v>721.87499999999989</v>
      </c>
      <c r="Q66">
        <f>VLOOKUP(O66,pxcopeau,D66-2010,FALSE)*N66</f>
        <v>476.4375</v>
      </c>
      <c r="R66" t="str">
        <f t="shared" si="48"/>
        <v>SO</v>
      </c>
      <c r="S66">
        <f t="shared" si="49"/>
        <v>0</v>
      </c>
      <c r="T66">
        <f t="shared" si="50"/>
        <v>0</v>
      </c>
      <c r="U66" t="str">
        <f t="shared" si="51"/>
        <v>Marché 1</v>
      </c>
      <c r="V66">
        <f>VLOOKUP(U66,pxmassif,$D66-2010,FALSE)*S66</f>
        <v>0</v>
      </c>
      <c r="W66">
        <f>VLOOKUP(U66,pxcopeau,$D66-2010,FALSE)*T66</f>
        <v>0</v>
      </c>
      <c r="X66" t="str">
        <f t="shared" si="52"/>
        <v>SO</v>
      </c>
      <c r="Y66">
        <f t="shared" si="53"/>
        <v>0</v>
      </c>
      <c r="Z66">
        <f t="shared" si="54"/>
        <v>0</v>
      </c>
      <c r="AA66" t="str">
        <f t="shared" si="55"/>
        <v>Marché 1</v>
      </c>
      <c r="AB66">
        <f>VLOOKUP(AA66,pxmassif,$D66-2010,FALSE)*Y66</f>
        <v>0</v>
      </c>
      <c r="AC66">
        <f>VLOOKUP(AA66,pxcopeau,$D66-2010,FALSE)*Z66</f>
        <v>0</v>
      </c>
      <c r="AD66">
        <f t="shared" si="25"/>
        <v>57.749999999999993</v>
      </c>
      <c r="AE66">
        <f t="shared" si="26"/>
        <v>63.524999999999999</v>
      </c>
      <c r="AF66">
        <f t="shared" si="27"/>
        <v>121.27499999999999</v>
      </c>
      <c r="AG66">
        <f t="shared" si="28"/>
        <v>0</v>
      </c>
      <c r="AH66">
        <f t="shared" si="29"/>
        <v>0</v>
      </c>
      <c r="AI66">
        <f t="shared" si="30"/>
        <v>57.749999999999993</v>
      </c>
      <c r="AJ66">
        <f t="shared" si="31"/>
        <v>63.524999999999999</v>
      </c>
      <c r="AK66">
        <f t="shared" si="56"/>
        <v>113.807925</v>
      </c>
      <c r="AL66">
        <f t="shared" si="57"/>
        <v>0</v>
      </c>
      <c r="AM66">
        <f>IFERROR(MIN(AL66,VLOOKUP(CONCATENATE(C66,"-to lingot"),negchutes,D66-2007,FALSE)),0)</f>
        <v>0</v>
      </c>
      <c r="AN66">
        <f t="shared" si="32"/>
        <v>0</v>
      </c>
      <c r="AO66" t="str">
        <f t="shared" si="62"/>
        <v>SO</v>
      </c>
      <c r="AP66">
        <f>IF(AR66=0,0,IFERROR(VLOOKUP(CONCATENATE($C66,"-to massif"),negchutes,$D66-2007,FALSE),0)*AM66/AR66)</f>
        <v>0</v>
      </c>
      <c r="AQ66">
        <f>IF(AR66=0,0,IFERROR(VLOOKUP(CONCATENATE($C66,"-to copeaux"),negchutes,$D66-2007,FALSE),0)*AM66/AR66)</f>
        <v>0</v>
      </c>
      <c r="AR66">
        <f>IFERROR(VLOOKUP(CONCATENATE($C66,"-to lingot"),negchutes,$D66-2007,FALSE),0)</f>
        <v>0</v>
      </c>
      <c r="AS66">
        <f>IF(AR66=0,0,AP66*VLOOKUP(CONCATENATE($C66,"-ac massif"),negchutes,$D66-2007,FALSE))</f>
        <v>0</v>
      </c>
      <c r="AT66">
        <f>IF(AR66=0,0,AQ66*VLOOKUP(CONCATENATE($C66,"-ac copeaux"),negchutes,$D66-2007,FALSE))</f>
        <v>0</v>
      </c>
      <c r="AU66">
        <f t="shared" si="58"/>
        <v>0</v>
      </c>
      <c r="AV66">
        <f>IFERROR(VLOOKUP(CONCATENATE(C66,"-px lingot"),negchutes,D66-2007,FALSE),0)*AM66</f>
        <v>0</v>
      </c>
      <c r="AW66">
        <f>AN66*VLOOKUP("Marché 1",pxlingot,D66-2010,FALSE)</f>
        <v>0</v>
      </c>
      <c r="AX66">
        <f t="shared" si="34"/>
        <v>0</v>
      </c>
      <c r="AY66" t="str">
        <f t="shared" si="59"/>
        <v>VAR</v>
      </c>
      <c r="AZ66">
        <f t="shared" si="60"/>
        <v>113.807925</v>
      </c>
      <c r="BA66">
        <f>MAX(VLOOKUP(VLOOKUP(C66,descmarche,28,FALSE),pxlingot,D66-2010,FALSE),AX66)</f>
        <v>0</v>
      </c>
      <c r="BB66">
        <f t="shared" si="35"/>
        <v>0</v>
      </c>
      <c r="BC66" t="str">
        <f t="shared" si="61"/>
        <v>SO</v>
      </c>
    </row>
    <row r="67" spans="1:55" x14ac:dyDescent="0.25">
      <c r="A67" t="s">
        <v>16</v>
      </c>
      <c r="B67" s="4" t="s">
        <v>46</v>
      </c>
      <c r="C67" t="str">
        <f t="shared" si="64"/>
        <v>UKTMP-05</v>
      </c>
      <c r="D67">
        <v>2024</v>
      </c>
      <c r="E67">
        <v>1100</v>
      </c>
      <c r="F67" t="str">
        <f t="shared" ref="F67:F130" si="65">VLOOKUP($C67,descmarche,4,FALSE)</f>
        <v>Motoristes Pièces</v>
      </c>
      <c r="G67" t="str">
        <f t="shared" ref="G67:G98" si="66">VLOOKUP($C67,descmarche,5,FALSE)</f>
        <v>Motoristes Pièces source UKTMP</v>
      </c>
      <c r="H67">
        <f t="shared" si="40"/>
        <v>0</v>
      </c>
      <c r="I67">
        <f t="shared" ref="I67:I98" si="67">VLOOKUP($C67,descmarche,7,FALSE)</f>
        <v>5</v>
      </c>
      <c r="J67">
        <f t="shared" ref="J67:J98" si="68">VLOOKUP($C67,descmarche,9,FALSE)*1000</f>
        <v>1210</v>
      </c>
      <c r="K67">
        <f t="shared" ref="K67:K98" si="69">VLOOKUP($C67,descmarche,10,FALSE)*$E67</f>
        <v>1100</v>
      </c>
      <c r="L67">
        <f t="shared" ref="L67:L98" si="70">VLOOKUP($C67,descmarche,11,FALSE)*$E67</f>
        <v>1331</v>
      </c>
      <c r="M67">
        <f t="shared" ref="M67:M98" si="71">VLOOKUP($C67,descmarche,12,FALSE)*$E67*VLOOKUP("UKAD",recupchute,2,FALSE)</f>
        <v>57.749999999999993</v>
      </c>
      <c r="N67">
        <f t="shared" ref="N67:N98" si="72">VLOOKUP($C67,descmarche,13,FALSE)*$E67*VLOOKUP("UKAD",recupchute,3,FALSE)</f>
        <v>63.524999999999999</v>
      </c>
      <c r="O67" t="str">
        <f t="shared" ref="O67:O98" si="73">VLOOKUP($C67,descmarche,14,FALSE)</f>
        <v>Marché 1</v>
      </c>
      <c r="P67">
        <f>VLOOKUP(O67,pxmassif,D67-2010,FALSE)*M67</f>
        <v>721.87499999999989</v>
      </c>
      <c r="Q67">
        <f>VLOOKUP(O67,pxcopeau,D67-2010,FALSE)*N67</f>
        <v>476.4375</v>
      </c>
      <c r="R67" t="str">
        <f t="shared" ref="R67:R98" si="74">VLOOKUP(C67,descmarche,22,FALSE)</f>
        <v>SO</v>
      </c>
      <c r="S67">
        <f t="shared" ref="S67:S98" si="75">VLOOKUP($C67,descmarche,15,FALSE)*$E67*VLOOKUP(R67,recupchute,2,FALSE)</f>
        <v>0</v>
      </c>
      <c r="T67">
        <f t="shared" ref="T67:T98" si="76">VLOOKUP($C67,descmarche,16,FALSE)*$E67*VLOOKUP(R67,recupchute,3,FALSE)</f>
        <v>0</v>
      </c>
      <c r="U67" t="str">
        <f t="shared" ref="U67:U98" si="77">VLOOKUP($C67,descmarche,17,FALSE)</f>
        <v>Marché 1</v>
      </c>
      <c r="V67">
        <f>VLOOKUP(U67,pxmassif,$D67-2010,FALSE)*S67</f>
        <v>0</v>
      </c>
      <c r="W67">
        <f>VLOOKUP(U67,pxcopeau,$D67-2010,FALSE)*T67</f>
        <v>0</v>
      </c>
      <c r="X67" t="str">
        <f t="shared" ref="X67:X98" si="78">VLOOKUP(C67,descmarche,23,FALSE)</f>
        <v>SO</v>
      </c>
      <c r="Y67">
        <f t="shared" ref="Y67:Y98" si="79">VLOOKUP($C67,descmarche,18,FALSE)*$E67*VLOOKUP(X67,recupchute,2,FALSE)</f>
        <v>0</v>
      </c>
      <c r="Z67">
        <f t="shared" ref="Z67:Z98" si="80">VLOOKUP($C67,descmarche,19,FALSE)*$E67*VLOOKUP(X67,recupchute,3,FALSE)</f>
        <v>0</v>
      </c>
      <c r="AA67" t="str">
        <f t="shared" ref="AA67:AA98" si="81">VLOOKUP($C67,descmarche,20,FALSE)</f>
        <v>Marché 1</v>
      </c>
      <c r="AB67">
        <f>VLOOKUP(AA67,pxmassif,$D67-2010,FALSE)*Y67</f>
        <v>0</v>
      </c>
      <c r="AC67">
        <f>VLOOKUP(AA67,pxcopeau,$D67-2010,FALSE)*Z67</f>
        <v>0</v>
      </c>
      <c r="AD67">
        <f t="shared" si="25"/>
        <v>57.749999999999993</v>
      </c>
      <c r="AE67">
        <f t="shared" si="26"/>
        <v>63.524999999999999</v>
      </c>
      <c r="AF67">
        <f t="shared" si="27"/>
        <v>121.27499999999999</v>
      </c>
      <c r="AG67">
        <f t="shared" si="28"/>
        <v>0</v>
      </c>
      <c r="AH67">
        <f t="shared" si="29"/>
        <v>0</v>
      </c>
      <c r="AI67">
        <f t="shared" si="30"/>
        <v>57.749999999999993</v>
      </c>
      <c r="AJ67">
        <f t="shared" si="31"/>
        <v>63.524999999999999</v>
      </c>
      <c r="AK67">
        <f t="shared" ref="AK67:AK98" si="82">VLOOKUP(C67,descmarche,26,FALSE)*E67</f>
        <v>113.807925</v>
      </c>
      <c r="AL67">
        <f t="shared" ref="AL67:AL98" si="83">IF(A67="EcoTI",VLOOKUP(C67,descmarche,27,FALSE)*E67,0)</f>
        <v>0</v>
      </c>
      <c r="AM67">
        <f>IFERROR(MIN(AL67,VLOOKUP(CONCATENATE(C67,"-to lingot"),negchutes,D67-2007,FALSE)),0)</f>
        <v>0</v>
      </c>
      <c r="AN67">
        <f t="shared" si="32"/>
        <v>0</v>
      </c>
      <c r="AO67" t="str">
        <f t="shared" si="62"/>
        <v>SO</v>
      </c>
      <c r="AP67">
        <f>IF(AR67=0,0,IFERROR(VLOOKUP(CONCATENATE($C67,"-to massif"),negchutes,$D67-2007,FALSE),0)*AM67/AR67)</f>
        <v>0</v>
      </c>
      <c r="AQ67">
        <f>IF(AR67=0,0,IFERROR(VLOOKUP(CONCATENATE($C67,"-to copeaux"),negchutes,$D67-2007,FALSE),0)*AM67/AR67)</f>
        <v>0</v>
      </c>
      <c r="AR67">
        <f>IFERROR(VLOOKUP(CONCATENATE($C67,"-to lingot"),negchutes,$D67-2007,FALSE),0)</f>
        <v>0</v>
      </c>
      <c r="AS67">
        <f>IF(AR67=0,0,AP67*VLOOKUP(CONCATENATE($C67,"-ac massif"),negchutes,$D67-2007,FALSE))</f>
        <v>0</v>
      </c>
      <c r="AT67">
        <f>IF(AR67=0,0,AQ67*VLOOKUP(CONCATENATE($C67,"-ac copeaux"),negchutes,$D67-2007,FALSE))</f>
        <v>0</v>
      </c>
      <c r="AU67">
        <f t="shared" ref="AU67:AU98" si="84">AK67*VLOOKUP(AO67,pxlingot,D67-2010,FALSE)</f>
        <v>0</v>
      </c>
      <c r="AV67">
        <f>IFERROR(VLOOKUP(CONCATENATE(C67,"-px lingot"),negchutes,D67-2007,FALSE),0)*AM67</f>
        <v>0</v>
      </c>
      <c r="AW67">
        <f>AN67*VLOOKUP("Marché 1",pxlingot,D67-2010,FALSE)</f>
        <v>0</v>
      </c>
      <c r="AX67">
        <f t="shared" si="34"/>
        <v>0</v>
      </c>
      <c r="AY67" t="str">
        <f t="shared" ref="AY67:AY98" si="85">VLOOKUP(C67,descmarche,21,FALSE)</f>
        <v>VAR</v>
      </c>
      <c r="AZ67">
        <f t="shared" ref="AZ67:AZ98" si="86">M67*VLOOKUP(AY67,convchutes,2,FALSE)+N67*VLOOKUP(AY67,convchutes,3,FALSE)</f>
        <v>113.807925</v>
      </c>
      <c r="BA67">
        <f>MAX(VLOOKUP(VLOOKUP(C67,descmarche,28,FALSE),pxlingot,D67-2010,FALSE),AX67)</f>
        <v>0</v>
      </c>
      <c r="BB67">
        <f t="shared" si="35"/>
        <v>0</v>
      </c>
      <c r="BC67" t="str">
        <f t="shared" ref="BC67:BC98" si="87">VLOOKUP(C67,descmarche,28,FALSE)</f>
        <v>SO</v>
      </c>
    </row>
    <row r="68" spans="1:55" x14ac:dyDescent="0.25">
      <c r="A68" t="s">
        <v>16</v>
      </c>
      <c r="B68" s="4" t="s">
        <v>47</v>
      </c>
      <c r="C68" t="str">
        <f t="shared" si="64"/>
        <v>UKTMP-06</v>
      </c>
      <c r="D68">
        <v>2012</v>
      </c>
      <c r="E68">
        <v>0</v>
      </c>
      <c r="F68" t="str">
        <f t="shared" si="65"/>
        <v>Motoristes Aubes</v>
      </c>
      <c r="G68" t="str">
        <f t="shared" si="66"/>
        <v>Motoristes Aubes source UKTMP</v>
      </c>
      <c r="H68" t="str">
        <f t="shared" si="40"/>
        <v>Aval UKAD</v>
      </c>
      <c r="I68">
        <f t="shared" si="67"/>
        <v>5</v>
      </c>
      <c r="J68">
        <f t="shared" si="68"/>
        <v>1411</v>
      </c>
      <c r="K68">
        <f t="shared" si="69"/>
        <v>0</v>
      </c>
      <c r="L68">
        <f t="shared" si="70"/>
        <v>0</v>
      </c>
      <c r="M68">
        <f t="shared" si="71"/>
        <v>0</v>
      </c>
      <c r="N68">
        <f t="shared" si="72"/>
        <v>0</v>
      </c>
      <c r="O68" t="str">
        <f t="shared" si="73"/>
        <v>Marché 1</v>
      </c>
      <c r="P68">
        <f>VLOOKUP(O68,pxmassif,D68-2010,FALSE)*M68</f>
        <v>0</v>
      </c>
      <c r="Q68">
        <f>VLOOKUP(O68,pxcopeau,D68-2010,FALSE)*N68</f>
        <v>0</v>
      </c>
      <c r="R68" t="str">
        <f t="shared" si="74"/>
        <v>BA pour UKAD</v>
      </c>
      <c r="S68">
        <f t="shared" si="75"/>
        <v>0</v>
      </c>
      <c r="T68">
        <f t="shared" si="76"/>
        <v>0</v>
      </c>
      <c r="U68" t="str">
        <f t="shared" si="77"/>
        <v>Marché 1</v>
      </c>
      <c r="V68">
        <f>VLOOKUP(U68,pxmassif,$D68-2010,FALSE)*S68</f>
        <v>0</v>
      </c>
      <c r="W68">
        <f>VLOOKUP(U68,pxcopeau,$D68-2010,FALSE)*T68</f>
        <v>0</v>
      </c>
      <c r="X68" t="str">
        <f t="shared" si="78"/>
        <v>SO</v>
      </c>
      <c r="Y68">
        <f t="shared" si="79"/>
        <v>0</v>
      </c>
      <c r="Z68">
        <f t="shared" si="80"/>
        <v>0</v>
      </c>
      <c r="AA68" t="str">
        <f t="shared" si="81"/>
        <v>Marché 1</v>
      </c>
      <c r="AB68">
        <f>VLOOKUP(AA68,pxmassif,$D68-2010,FALSE)*Y68</f>
        <v>0</v>
      </c>
      <c r="AC68">
        <f>VLOOKUP(AA68,pxcopeau,$D68-2010,FALSE)*Z68</f>
        <v>0</v>
      </c>
      <c r="AD68">
        <f t="shared" ref="AD68:AD131" si="88">M68+S68</f>
        <v>0</v>
      </c>
      <c r="AE68">
        <f t="shared" ref="AE68:AE131" si="89">N68+T68</f>
        <v>0</v>
      </c>
      <c r="AF68">
        <f t="shared" ref="AF68:AF131" si="90">M68+N68</f>
        <v>0</v>
      </c>
      <c r="AG68">
        <f t="shared" ref="AG68:AG131" si="91">S68+T68</f>
        <v>0</v>
      </c>
      <c r="AH68">
        <f t="shared" ref="AH68:AH131" si="92">Y68+Z68</f>
        <v>0</v>
      </c>
      <c r="AI68">
        <f t="shared" ref="AI68:AI131" si="93">M68+S68+Y68</f>
        <v>0</v>
      </c>
      <c r="AJ68">
        <f t="shared" ref="AJ68:AJ131" si="94">N68+T68+Z68</f>
        <v>0</v>
      </c>
      <c r="AK68">
        <f t="shared" si="82"/>
        <v>0</v>
      </c>
      <c r="AL68">
        <f t="shared" si="83"/>
        <v>0</v>
      </c>
      <c r="AM68">
        <f>IFERROR(MIN(AL68,VLOOKUP(CONCATENATE(C68,"-to lingot"),negchutes,D68-2007,FALSE)),0)</f>
        <v>0</v>
      </c>
      <c r="AN68">
        <f t="shared" ref="AN68:AN131" si="95">AL68-AM68</f>
        <v>0</v>
      </c>
      <c r="AO68" t="str">
        <f t="shared" ref="AO68:AO99" si="96">VLOOKUP(C68,descmarche,28,FALSE)</f>
        <v>SO</v>
      </c>
      <c r="AP68">
        <f>IF(AR68=0,0,IFERROR(VLOOKUP(CONCATENATE($C68,"-to massif"),negchutes,$D68-2007,FALSE),0)*AM68/AR68)</f>
        <v>0</v>
      </c>
      <c r="AQ68">
        <f>IF(AR68=0,0,IFERROR(VLOOKUP(CONCATENATE($C68,"-to copeaux"),negchutes,$D68-2007,FALSE),0)*AM68/AR68)</f>
        <v>0</v>
      </c>
      <c r="AR68">
        <f>IFERROR(VLOOKUP(CONCATENATE($C68,"-to lingot"),negchutes,$D68-2007,FALSE),0)</f>
        <v>0</v>
      </c>
      <c r="AS68">
        <f>IF(AR68=0,0,AP68*VLOOKUP(CONCATENATE($C68,"-ac massif"),negchutes,$D68-2007,FALSE))</f>
        <v>0</v>
      </c>
      <c r="AT68">
        <f>IF(AR68=0,0,AQ68*VLOOKUP(CONCATENATE($C68,"-ac copeaux"),negchutes,$D68-2007,FALSE))</f>
        <v>0</v>
      </c>
      <c r="AU68">
        <f t="shared" si="84"/>
        <v>0</v>
      </c>
      <c r="AV68">
        <f>IFERROR(VLOOKUP(CONCATENATE(C68,"-px lingot"),negchutes,D68-2007,FALSE),0)*AM68</f>
        <v>0</v>
      </c>
      <c r="AW68">
        <f>AN68*VLOOKUP("Marché 1",pxlingot,D68-2010,FALSE)</f>
        <v>0</v>
      </c>
      <c r="AX68">
        <f t="shared" ref="AX68:AX131" si="97">IF((AK68+AL68)=0,0,(AU68+AV68+AW68)/(AK68+AL68))</f>
        <v>0</v>
      </c>
      <c r="AY68" t="str">
        <f t="shared" si="85"/>
        <v>VAR</v>
      </c>
      <c r="AZ68">
        <f t="shared" si="86"/>
        <v>0</v>
      </c>
      <c r="BA68">
        <f>MAX(VLOOKUP(VLOOKUP(C68,descmarche,28,FALSE),pxlingot,D68-2010,FALSE),AX68)</f>
        <v>0</v>
      </c>
      <c r="BB68">
        <f t="shared" ref="BB68:BB131" si="98">BA68*L68</f>
        <v>0</v>
      </c>
      <c r="BC68" t="str">
        <f t="shared" si="87"/>
        <v>SO</v>
      </c>
    </row>
    <row r="69" spans="1:55" x14ac:dyDescent="0.25">
      <c r="A69" t="s">
        <v>16</v>
      </c>
      <c r="B69" s="4" t="s">
        <v>47</v>
      </c>
      <c r="C69" t="str">
        <f t="shared" si="64"/>
        <v>UKTMP-06</v>
      </c>
      <c r="D69">
        <v>2013</v>
      </c>
      <c r="E69">
        <v>0</v>
      </c>
      <c r="F69" t="str">
        <f t="shared" si="65"/>
        <v>Motoristes Aubes</v>
      </c>
      <c r="G69" t="str">
        <f t="shared" si="66"/>
        <v>Motoristes Aubes source UKTMP</v>
      </c>
      <c r="H69" t="str">
        <f t="shared" si="40"/>
        <v>Aval UKAD</v>
      </c>
      <c r="I69">
        <f t="shared" si="67"/>
        <v>5</v>
      </c>
      <c r="J69">
        <f t="shared" si="68"/>
        <v>1411</v>
      </c>
      <c r="K69">
        <f t="shared" si="69"/>
        <v>0</v>
      </c>
      <c r="L69">
        <f t="shared" si="70"/>
        <v>0</v>
      </c>
      <c r="M69">
        <f t="shared" si="71"/>
        <v>0</v>
      </c>
      <c r="N69">
        <f t="shared" si="72"/>
        <v>0</v>
      </c>
      <c r="O69" t="str">
        <f t="shared" si="73"/>
        <v>Marché 1</v>
      </c>
      <c r="P69">
        <f>VLOOKUP(O69,pxmassif,D69-2010,FALSE)*M69</f>
        <v>0</v>
      </c>
      <c r="Q69">
        <f>VLOOKUP(O69,pxcopeau,D69-2010,FALSE)*N69</f>
        <v>0</v>
      </c>
      <c r="R69" t="str">
        <f t="shared" si="74"/>
        <v>BA pour UKAD</v>
      </c>
      <c r="S69">
        <f t="shared" si="75"/>
        <v>0</v>
      </c>
      <c r="T69">
        <f t="shared" si="76"/>
        <v>0</v>
      </c>
      <c r="U69" t="str">
        <f t="shared" si="77"/>
        <v>Marché 1</v>
      </c>
      <c r="V69">
        <f>VLOOKUP(U69,pxmassif,$D69-2010,FALSE)*S69</f>
        <v>0</v>
      </c>
      <c r="W69">
        <f>VLOOKUP(U69,pxcopeau,$D69-2010,FALSE)*T69</f>
        <v>0</v>
      </c>
      <c r="X69" t="str">
        <f t="shared" si="78"/>
        <v>SO</v>
      </c>
      <c r="Y69">
        <f t="shared" si="79"/>
        <v>0</v>
      </c>
      <c r="Z69">
        <f t="shared" si="80"/>
        <v>0</v>
      </c>
      <c r="AA69" t="str">
        <f t="shared" si="81"/>
        <v>Marché 1</v>
      </c>
      <c r="AB69">
        <f>VLOOKUP(AA69,pxmassif,$D69-2010,FALSE)*Y69</f>
        <v>0</v>
      </c>
      <c r="AC69">
        <f>VLOOKUP(AA69,pxcopeau,$D69-2010,FALSE)*Z69</f>
        <v>0</v>
      </c>
      <c r="AD69">
        <f t="shared" si="88"/>
        <v>0</v>
      </c>
      <c r="AE69">
        <f t="shared" si="89"/>
        <v>0</v>
      </c>
      <c r="AF69">
        <f t="shared" si="90"/>
        <v>0</v>
      </c>
      <c r="AG69">
        <f t="shared" si="91"/>
        <v>0</v>
      </c>
      <c r="AH69">
        <f t="shared" si="92"/>
        <v>0</v>
      </c>
      <c r="AI69">
        <f t="shared" si="93"/>
        <v>0</v>
      </c>
      <c r="AJ69">
        <f t="shared" si="94"/>
        <v>0</v>
      </c>
      <c r="AK69">
        <f t="shared" si="82"/>
        <v>0</v>
      </c>
      <c r="AL69">
        <f t="shared" si="83"/>
        <v>0</v>
      </c>
      <c r="AM69">
        <f>IFERROR(MIN(AL69,VLOOKUP(CONCATENATE(C69,"-to lingot"),negchutes,D69-2007,FALSE)),0)</f>
        <v>0</v>
      </c>
      <c r="AN69">
        <f t="shared" si="95"/>
        <v>0</v>
      </c>
      <c r="AO69" t="str">
        <f t="shared" si="96"/>
        <v>SO</v>
      </c>
      <c r="AP69">
        <f>IF(AR69=0,0,IFERROR(VLOOKUP(CONCATENATE($C69,"-to massif"),negchutes,$D69-2007,FALSE),0)*AM69/AR69)</f>
        <v>0</v>
      </c>
      <c r="AQ69">
        <f>IF(AR69=0,0,IFERROR(VLOOKUP(CONCATENATE($C69,"-to copeaux"),negchutes,$D69-2007,FALSE),0)*AM69/AR69)</f>
        <v>0</v>
      </c>
      <c r="AR69">
        <f>IFERROR(VLOOKUP(CONCATENATE($C69,"-to lingot"),negchutes,$D69-2007,FALSE),0)</f>
        <v>0</v>
      </c>
      <c r="AS69">
        <f>IF(AR69=0,0,AP69*VLOOKUP(CONCATENATE($C69,"-ac massif"),negchutes,$D69-2007,FALSE))</f>
        <v>0</v>
      </c>
      <c r="AT69">
        <f>IF(AR69=0,0,AQ69*VLOOKUP(CONCATENATE($C69,"-ac copeaux"),negchutes,$D69-2007,FALSE))</f>
        <v>0</v>
      </c>
      <c r="AU69">
        <f t="shared" si="84"/>
        <v>0</v>
      </c>
      <c r="AV69">
        <f>IFERROR(VLOOKUP(CONCATENATE(C69,"-px lingot"),negchutes,D69-2007,FALSE),0)*AM69</f>
        <v>0</v>
      </c>
      <c r="AW69">
        <f>AN69*VLOOKUP("Marché 1",pxlingot,D69-2010,FALSE)</f>
        <v>0</v>
      </c>
      <c r="AX69">
        <f t="shared" si="97"/>
        <v>0</v>
      </c>
      <c r="AY69" t="str">
        <f t="shared" si="85"/>
        <v>VAR</v>
      </c>
      <c r="AZ69">
        <f t="shared" si="86"/>
        <v>0</v>
      </c>
      <c r="BA69">
        <f>MAX(VLOOKUP(VLOOKUP(C69,descmarche,28,FALSE),pxlingot,D69-2010,FALSE),AX69)</f>
        <v>0</v>
      </c>
      <c r="BB69">
        <f t="shared" si="98"/>
        <v>0</v>
      </c>
      <c r="BC69" t="str">
        <f t="shared" si="87"/>
        <v>SO</v>
      </c>
    </row>
    <row r="70" spans="1:55" x14ac:dyDescent="0.25">
      <c r="A70" t="s">
        <v>16</v>
      </c>
      <c r="B70" s="4" t="s">
        <v>47</v>
      </c>
      <c r="C70" t="str">
        <f t="shared" ref="C70:C82" si="99">CONCATENATE(A70,"-",B70)</f>
        <v>UKTMP-06</v>
      </c>
      <c r="D70">
        <v>2014</v>
      </c>
      <c r="E70">
        <v>100</v>
      </c>
      <c r="F70" t="str">
        <f t="shared" si="65"/>
        <v>Motoristes Aubes</v>
      </c>
      <c r="G70" t="str">
        <f t="shared" si="66"/>
        <v>Motoristes Aubes source UKTMP</v>
      </c>
      <c r="H70" t="str">
        <f t="shared" si="40"/>
        <v>Aval UKAD</v>
      </c>
      <c r="I70">
        <f t="shared" si="67"/>
        <v>5</v>
      </c>
      <c r="J70">
        <f t="shared" si="68"/>
        <v>1411</v>
      </c>
      <c r="K70">
        <f t="shared" si="69"/>
        <v>100</v>
      </c>
      <c r="L70">
        <f t="shared" si="70"/>
        <v>141.1</v>
      </c>
      <c r="M70">
        <f t="shared" si="71"/>
        <v>5.25</v>
      </c>
      <c r="N70">
        <f t="shared" si="72"/>
        <v>0</v>
      </c>
      <c r="O70" t="str">
        <f t="shared" si="73"/>
        <v>Marché 1</v>
      </c>
      <c r="P70">
        <f>VLOOKUP(O70,pxmassif,D70-2010,FALSE)*M70</f>
        <v>65.625</v>
      </c>
      <c r="Q70">
        <f>VLOOKUP(O70,pxcopeau,D70-2010,FALSE)*N70</f>
        <v>0</v>
      </c>
      <c r="R70" t="str">
        <f t="shared" si="74"/>
        <v>BA pour UKAD</v>
      </c>
      <c r="S70">
        <f t="shared" si="75"/>
        <v>5.625</v>
      </c>
      <c r="T70">
        <f t="shared" si="76"/>
        <v>0</v>
      </c>
      <c r="U70" t="str">
        <f t="shared" si="77"/>
        <v>Marché 1</v>
      </c>
      <c r="V70">
        <f>VLOOKUP(U70,pxmassif,$D70-2010,FALSE)*S70</f>
        <v>70.3125</v>
      </c>
      <c r="W70">
        <f>VLOOKUP(U70,pxcopeau,$D70-2010,FALSE)*T70</f>
        <v>0</v>
      </c>
      <c r="X70" t="str">
        <f t="shared" si="78"/>
        <v>SO</v>
      </c>
      <c r="Y70">
        <f t="shared" si="79"/>
        <v>0</v>
      </c>
      <c r="Z70">
        <f t="shared" si="80"/>
        <v>0</v>
      </c>
      <c r="AA70" t="str">
        <f t="shared" si="81"/>
        <v>Marché 1</v>
      </c>
      <c r="AB70">
        <f>VLOOKUP(AA70,pxmassif,$D70-2010,FALSE)*Y70</f>
        <v>0</v>
      </c>
      <c r="AC70">
        <f>VLOOKUP(AA70,pxcopeau,$D70-2010,FALSE)*Z70</f>
        <v>0</v>
      </c>
      <c r="AD70">
        <f t="shared" si="88"/>
        <v>10.875</v>
      </c>
      <c r="AE70">
        <f t="shared" si="89"/>
        <v>0</v>
      </c>
      <c r="AF70">
        <f t="shared" si="90"/>
        <v>5.25</v>
      </c>
      <c r="AG70">
        <f t="shared" si="91"/>
        <v>5.625</v>
      </c>
      <c r="AH70">
        <f t="shared" si="92"/>
        <v>0</v>
      </c>
      <c r="AI70">
        <f t="shared" si="93"/>
        <v>10.875</v>
      </c>
      <c r="AJ70">
        <f t="shared" si="94"/>
        <v>0</v>
      </c>
      <c r="AK70">
        <f t="shared" si="82"/>
        <v>11.179500000000001</v>
      </c>
      <c r="AL70">
        <f t="shared" si="83"/>
        <v>0</v>
      </c>
      <c r="AM70">
        <f>IFERROR(MIN(AL70,VLOOKUP(CONCATENATE(C70,"-to lingot"),negchutes,D70-2007,FALSE)),0)</f>
        <v>0</v>
      </c>
      <c r="AN70">
        <f t="shared" si="95"/>
        <v>0</v>
      </c>
      <c r="AO70" t="str">
        <f t="shared" si="96"/>
        <v>SO</v>
      </c>
      <c r="AP70">
        <f>IF(AR70=0,0,IFERROR(VLOOKUP(CONCATENATE($C70,"-to massif"),negchutes,$D70-2007,FALSE),0)*AM70/AR70)</f>
        <v>0</v>
      </c>
      <c r="AQ70">
        <f>IF(AR70=0,0,IFERROR(VLOOKUP(CONCATENATE($C70,"-to copeaux"),negchutes,$D70-2007,FALSE),0)*AM70/AR70)</f>
        <v>0</v>
      </c>
      <c r="AR70">
        <f>IFERROR(VLOOKUP(CONCATENATE($C70,"-to lingot"),negchutes,$D70-2007,FALSE),0)</f>
        <v>0</v>
      </c>
      <c r="AS70">
        <f>IF(AR70=0,0,AP70*VLOOKUP(CONCATENATE($C70,"-ac massif"),negchutes,$D70-2007,FALSE))</f>
        <v>0</v>
      </c>
      <c r="AT70">
        <f>IF(AR70=0,0,AQ70*VLOOKUP(CONCATENATE($C70,"-ac copeaux"),negchutes,$D70-2007,FALSE))</f>
        <v>0</v>
      </c>
      <c r="AU70">
        <f t="shared" si="84"/>
        <v>0</v>
      </c>
      <c r="AV70">
        <f>IFERROR(VLOOKUP(CONCATENATE(C70,"-px lingot"),negchutes,D70-2007,FALSE),0)*AM70</f>
        <v>0</v>
      </c>
      <c r="AW70">
        <f>AN70*VLOOKUP("Marché 1",pxlingot,D70-2010,FALSE)</f>
        <v>0</v>
      </c>
      <c r="AX70">
        <f t="shared" si="97"/>
        <v>0</v>
      </c>
      <c r="AY70" t="str">
        <f t="shared" si="85"/>
        <v>VAR</v>
      </c>
      <c r="AZ70">
        <f t="shared" si="86"/>
        <v>5.3970000000000002</v>
      </c>
      <c r="BA70">
        <f>MAX(VLOOKUP(VLOOKUP(C70,descmarche,28,FALSE),pxlingot,D70-2010,FALSE),AX70)</f>
        <v>0</v>
      </c>
      <c r="BB70">
        <f t="shared" si="98"/>
        <v>0</v>
      </c>
      <c r="BC70" t="str">
        <f t="shared" si="87"/>
        <v>SO</v>
      </c>
    </row>
    <row r="71" spans="1:55" x14ac:dyDescent="0.25">
      <c r="A71" t="s">
        <v>16</v>
      </c>
      <c r="B71" s="4" t="s">
        <v>47</v>
      </c>
      <c r="C71" t="str">
        <f t="shared" si="99"/>
        <v>UKTMP-06</v>
      </c>
      <c r="D71">
        <v>2015</v>
      </c>
      <c r="E71">
        <v>200</v>
      </c>
      <c r="F71" t="str">
        <f t="shared" si="65"/>
        <v>Motoristes Aubes</v>
      </c>
      <c r="G71" t="str">
        <f t="shared" si="66"/>
        <v>Motoristes Aubes source UKTMP</v>
      </c>
      <c r="H71" t="str">
        <f t="shared" si="40"/>
        <v>Aval UKAD</v>
      </c>
      <c r="I71">
        <f t="shared" si="67"/>
        <v>5</v>
      </c>
      <c r="J71">
        <f t="shared" si="68"/>
        <v>1411</v>
      </c>
      <c r="K71">
        <f t="shared" si="69"/>
        <v>200</v>
      </c>
      <c r="L71">
        <f t="shared" si="70"/>
        <v>282.2</v>
      </c>
      <c r="M71">
        <f t="shared" si="71"/>
        <v>10.5</v>
      </c>
      <c r="N71">
        <f t="shared" si="72"/>
        <v>0</v>
      </c>
      <c r="O71" t="str">
        <f t="shared" si="73"/>
        <v>Marché 1</v>
      </c>
      <c r="P71">
        <f>VLOOKUP(O71,pxmassif,D71-2010,FALSE)*M71</f>
        <v>131.25</v>
      </c>
      <c r="Q71">
        <f>VLOOKUP(O71,pxcopeau,D71-2010,FALSE)*N71</f>
        <v>0</v>
      </c>
      <c r="R71" t="str">
        <f t="shared" si="74"/>
        <v>BA pour UKAD</v>
      </c>
      <c r="S71">
        <f t="shared" si="75"/>
        <v>11.25</v>
      </c>
      <c r="T71">
        <f t="shared" si="76"/>
        <v>0</v>
      </c>
      <c r="U71" t="str">
        <f t="shared" si="77"/>
        <v>Marché 1</v>
      </c>
      <c r="V71">
        <f>VLOOKUP(U71,pxmassif,$D71-2010,FALSE)*S71</f>
        <v>140.625</v>
      </c>
      <c r="W71">
        <f>VLOOKUP(U71,pxcopeau,$D71-2010,FALSE)*T71</f>
        <v>0</v>
      </c>
      <c r="X71" t="str">
        <f t="shared" si="78"/>
        <v>SO</v>
      </c>
      <c r="Y71">
        <f t="shared" si="79"/>
        <v>0</v>
      </c>
      <c r="Z71">
        <f t="shared" si="80"/>
        <v>0</v>
      </c>
      <c r="AA71" t="str">
        <f t="shared" si="81"/>
        <v>Marché 1</v>
      </c>
      <c r="AB71">
        <f>VLOOKUP(AA71,pxmassif,$D71-2010,FALSE)*Y71</f>
        <v>0</v>
      </c>
      <c r="AC71">
        <f>VLOOKUP(AA71,pxcopeau,$D71-2010,FALSE)*Z71</f>
        <v>0</v>
      </c>
      <c r="AD71">
        <f t="shared" si="88"/>
        <v>21.75</v>
      </c>
      <c r="AE71">
        <f t="shared" si="89"/>
        <v>0</v>
      </c>
      <c r="AF71">
        <f t="shared" si="90"/>
        <v>10.5</v>
      </c>
      <c r="AG71">
        <f t="shared" si="91"/>
        <v>11.25</v>
      </c>
      <c r="AH71">
        <f t="shared" si="92"/>
        <v>0</v>
      </c>
      <c r="AI71">
        <f t="shared" si="93"/>
        <v>21.75</v>
      </c>
      <c r="AJ71">
        <f t="shared" si="94"/>
        <v>0</v>
      </c>
      <c r="AK71">
        <f t="shared" si="82"/>
        <v>22.359000000000002</v>
      </c>
      <c r="AL71">
        <f t="shared" si="83"/>
        <v>0</v>
      </c>
      <c r="AM71">
        <f>IFERROR(MIN(AL71,VLOOKUP(CONCATENATE(C71,"-to lingot"),negchutes,D71-2007,FALSE)),0)</f>
        <v>0</v>
      </c>
      <c r="AN71">
        <f t="shared" si="95"/>
        <v>0</v>
      </c>
      <c r="AO71" t="str">
        <f t="shared" si="96"/>
        <v>SO</v>
      </c>
      <c r="AP71">
        <f>IF(AR71=0,0,IFERROR(VLOOKUP(CONCATENATE($C71,"-to massif"),negchutes,$D71-2007,FALSE),0)*AM71/AR71)</f>
        <v>0</v>
      </c>
      <c r="AQ71">
        <f>IF(AR71=0,0,IFERROR(VLOOKUP(CONCATENATE($C71,"-to copeaux"),negchutes,$D71-2007,FALSE),0)*AM71/AR71)</f>
        <v>0</v>
      </c>
      <c r="AR71">
        <f>IFERROR(VLOOKUP(CONCATENATE($C71,"-to lingot"),negchutes,$D71-2007,FALSE),0)</f>
        <v>0</v>
      </c>
      <c r="AS71">
        <f>IF(AR71=0,0,AP71*VLOOKUP(CONCATENATE($C71,"-ac massif"),negchutes,$D71-2007,FALSE))</f>
        <v>0</v>
      </c>
      <c r="AT71">
        <f>IF(AR71=0,0,AQ71*VLOOKUP(CONCATENATE($C71,"-ac copeaux"),negchutes,$D71-2007,FALSE))</f>
        <v>0</v>
      </c>
      <c r="AU71">
        <f t="shared" si="84"/>
        <v>0</v>
      </c>
      <c r="AV71">
        <f>IFERROR(VLOOKUP(CONCATENATE(C71,"-px lingot"),negchutes,D71-2007,FALSE),0)*AM71</f>
        <v>0</v>
      </c>
      <c r="AW71">
        <f>AN71*VLOOKUP("Marché 1",pxlingot,D71-2010,FALSE)</f>
        <v>0</v>
      </c>
      <c r="AX71">
        <f t="shared" si="97"/>
        <v>0</v>
      </c>
      <c r="AY71" t="str">
        <f t="shared" si="85"/>
        <v>VAR</v>
      </c>
      <c r="AZ71">
        <f t="shared" si="86"/>
        <v>10.794</v>
      </c>
      <c r="BA71">
        <f>MAX(VLOOKUP(VLOOKUP(C71,descmarche,28,FALSE),pxlingot,D71-2010,FALSE),AX71)</f>
        <v>0</v>
      </c>
      <c r="BB71">
        <f t="shared" si="98"/>
        <v>0</v>
      </c>
      <c r="BC71" t="str">
        <f t="shared" si="87"/>
        <v>SO</v>
      </c>
    </row>
    <row r="72" spans="1:55" x14ac:dyDescent="0.25">
      <c r="A72" t="s">
        <v>16</v>
      </c>
      <c r="B72" s="4" t="s">
        <v>47</v>
      </c>
      <c r="C72" t="str">
        <f t="shared" si="99"/>
        <v>UKTMP-06</v>
      </c>
      <c r="D72">
        <v>2016</v>
      </c>
      <c r="E72">
        <v>200</v>
      </c>
      <c r="F72" t="str">
        <f t="shared" si="65"/>
        <v>Motoristes Aubes</v>
      </c>
      <c r="G72" t="str">
        <f t="shared" si="66"/>
        <v>Motoristes Aubes source UKTMP</v>
      </c>
      <c r="H72" t="str">
        <f t="shared" si="40"/>
        <v>Aval UKAD</v>
      </c>
      <c r="I72">
        <f t="shared" si="67"/>
        <v>5</v>
      </c>
      <c r="J72">
        <f t="shared" si="68"/>
        <v>1411</v>
      </c>
      <c r="K72">
        <f t="shared" si="69"/>
        <v>200</v>
      </c>
      <c r="L72">
        <f t="shared" si="70"/>
        <v>282.2</v>
      </c>
      <c r="M72">
        <f t="shared" si="71"/>
        <v>10.5</v>
      </c>
      <c r="N72">
        <f t="shared" si="72"/>
        <v>0</v>
      </c>
      <c r="O72" t="str">
        <f t="shared" si="73"/>
        <v>Marché 1</v>
      </c>
      <c r="P72">
        <f>VLOOKUP(O72,pxmassif,D72-2010,FALSE)*M72</f>
        <v>131.25</v>
      </c>
      <c r="Q72">
        <f>VLOOKUP(O72,pxcopeau,D72-2010,FALSE)*N72</f>
        <v>0</v>
      </c>
      <c r="R72" t="str">
        <f t="shared" si="74"/>
        <v>BA pour UKAD</v>
      </c>
      <c r="S72">
        <f t="shared" si="75"/>
        <v>11.25</v>
      </c>
      <c r="T72">
        <f t="shared" si="76"/>
        <v>0</v>
      </c>
      <c r="U72" t="str">
        <f t="shared" si="77"/>
        <v>Marché 1</v>
      </c>
      <c r="V72">
        <f>VLOOKUP(U72,pxmassif,$D72-2010,FALSE)*S72</f>
        <v>140.625</v>
      </c>
      <c r="W72">
        <f>VLOOKUP(U72,pxcopeau,$D72-2010,FALSE)*T72</f>
        <v>0</v>
      </c>
      <c r="X72" t="str">
        <f t="shared" si="78"/>
        <v>SO</v>
      </c>
      <c r="Y72">
        <f t="shared" si="79"/>
        <v>0</v>
      </c>
      <c r="Z72">
        <f t="shared" si="80"/>
        <v>0</v>
      </c>
      <c r="AA72" t="str">
        <f t="shared" si="81"/>
        <v>Marché 1</v>
      </c>
      <c r="AB72">
        <f>VLOOKUP(AA72,pxmassif,$D72-2010,FALSE)*Y72</f>
        <v>0</v>
      </c>
      <c r="AC72">
        <f>VLOOKUP(AA72,pxcopeau,$D72-2010,FALSE)*Z72</f>
        <v>0</v>
      </c>
      <c r="AD72">
        <f t="shared" si="88"/>
        <v>21.75</v>
      </c>
      <c r="AE72">
        <f t="shared" si="89"/>
        <v>0</v>
      </c>
      <c r="AF72">
        <f t="shared" si="90"/>
        <v>10.5</v>
      </c>
      <c r="AG72">
        <f t="shared" si="91"/>
        <v>11.25</v>
      </c>
      <c r="AH72">
        <f t="shared" si="92"/>
        <v>0</v>
      </c>
      <c r="AI72">
        <f t="shared" si="93"/>
        <v>21.75</v>
      </c>
      <c r="AJ72">
        <f t="shared" si="94"/>
        <v>0</v>
      </c>
      <c r="AK72">
        <f t="shared" si="82"/>
        <v>22.359000000000002</v>
      </c>
      <c r="AL72">
        <f t="shared" si="83"/>
        <v>0</v>
      </c>
      <c r="AM72">
        <f>IFERROR(MIN(AL72,VLOOKUP(CONCATENATE(C72,"-to lingot"),negchutes,D72-2007,FALSE)),0)</f>
        <v>0</v>
      </c>
      <c r="AN72">
        <f t="shared" si="95"/>
        <v>0</v>
      </c>
      <c r="AO72" t="str">
        <f t="shared" si="96"/>
        <v>SO</v>
      </c>
      <c r="AP72">
        <f>IF(AR72=0,0,IFERROR(VLOOKUP(CONCATENATE($C72,"-to massif"),negchutes,$D72-2007,FALSE),0)*AM72/AR72)</f>
        <v>0</v>
      </c>
      <c r="AQ72">
        <f>IF(AR72=0,0,IFERROR(VLOOKUP(CONCATENATE($C72,"-to copeaux"),negchutes,$D72-2007,FALSE),0)*AM72/AR72)</f>
        <v>0</v>
      </c>
      <c r="AR72">
        <f>IFERROR(VLOOKUP(CONCATENATE($C72,"-to lingot"),negchutes,$D72-2007,FALSE),0)</f>
        <v>0</v>
      </c>
      <c r="AS72">
        <f>IF(AR72=0,0,AP72*VLOOKUP(CONCATENATE($C72,"-ac massif"),negchutes,$D72-2007,FALSE))</f>
        <v>0</v>
      </c>
      <c r="AT72">
        <f>IF(AR72=0,0,AQ72*VLOOKUP(CONCATENATE($C72,"-ac copeaux"),negchutes,$D72-2007,FALSE))</f>
        <v>0</v>
      </c>
      <c r="AU72">
        <f t="shared" si="84"/>
        <v>0</v>
      </c>
      <c r="AV72">
        <f>IFERROR(VLOOKUP(CONCATENATE(C72,"-px lingot"),negchutes,D72-2007,FALSE),0)*AM72</f>
        <v>0</v>
      </c>
      <c r="AW72">
        <f>AN72*VLOOKUP("Marché 1",pxlingot,D72-2010,FALSE)</f>
        <v>0</v>
      </c>
      <c r="AX72">
        <f t="shared" si="97"/>
        <v>0</v>
      </c>
      <c r="AY72" t="str">
        <f t="shared" si="85"/>
        <v>VAR</v>
      </c>
      <c r="AZ72">
        <f t="shared" si="86"/>
        <v>10.794</v>
      </c>
      <c r="BA72">
        <f>MAX(VLOOKUP(VLOOKUP(C72,descmarche,28,FALSE),pxlingot,D72-2010,FALSE),AX72)</f>
        <v>0</v>
      </c>
      <c r="BB72">
        <f t="shared" si="98"/>
        <v>0</v>
      </c>
      <c r="BC72" t="str">
        <f t="shared" si="87"/>
        <v>SO</v>
      </c>
    </row>
    <row r="73" spans="1:55" x14ac:dyDescent="0.25">
      <c r="A73" t="s">
        <v>16</v>
      </c>
      <c r="B73" s="4" t="s">
        <v>47</v>
      </c>
      <c r="C73" t="str">
        <f t="shared" si="99"/>
        <v>UKTMP-06</v>
      </c>
      <c r="D73">
        <v>2017</v>
      </c>
      <c r="E73">
        <v>200</v>
      </c>
      <c r="F73" t="str">
        <f t="shared" si="65"/>
        <v>Motoristes Aubes</v>
      </c>
      <c r="G73" t="str">
        <f t="shared" si="66"/>
        <v>Motoristes Aubes source UKTMP</v>
      </c>
      <c r="H73" t="str">
        <f t="shared" si="40"/>
        <v>Aval UKAD</v>
      </c>
      <c r="I73">
        <f t="shared" si="67"/>
        <v>5</v>
      </c>
      <c r="J73">
        <f t="shared" si="68"/>
        <v>1411</v>
      </c>
      <c r="K73">
        <f t="shared" si="69"/>
        <v>200</v>
      </c>
      <c r="L73">
        <f t="shared" si="70"/>
        <v>282.2</v>
      </c>
      <c r="M73">
        <f t="shared" si="71"/>
        <v>10.5</v>
      </c>
      <c r="N73">
        <f t="shared" si="72"/>
        <v>0</v>
      </c>
      <c r="O73" t="str">
        <f t="shared" si="73"/>
        <v>Marché 1</v>
      </c>
      <c r="P73">
        <f>VLOOKUP(O73,pxmassif,D73-2010,FALSE)*M73</f>
        <v>131.25</v>
      </c>
      <c r="Q73">
        <f>VLOOKUP(O73,pxcopeau,D73-2010,FALSE)*N73</f>
        <v>0</v>
      </c>
      <c r="R73" t="str">
        <f t="shared" si="74"/>
        <v>BA pour UKAD</v>
      </c>
      <c r="S73">
        <f t="shared" si="75"/>
        <v>11.25</v>
      </c>
      <c r="T73">
        <f t="shared" si="76"/>
        <v>0</v>
      </c>
      <c r="U73" t="str">
        <f t="shared" si="77"/>
        <v>Marché 1</v>
      </c>
      <c r="V73">
        <f>VLOOKUP(U73,pxmassif,$D73-2010,FALSE)*S73</f>
        <v>140.625</v>
      </c>
      <c r="W73">
        <f>VLOOKUP(U73,pxcopeau,$D73-2010,FALSE)*T73</f>
        <v>0</v>
      </c>
      <c r="X73" t="str">
        <f t="shared" si="78"/>
        <v>SO</v>
      </c>
      <c r="Y73">
        <f t="shared" si="79"/>
        <v>0</v>
      </c>
      <c r="Z73">
        <f t="shared" si="80"/>
        <v>0</v>
      </c>
      <c r="AA73" t="str">
        <f t="shared" si="81"/>
        <v>Marché 1</v>
      </c>
      <c r="AB73">
        <f>VLOOKUP(AA73,pxmassif,$D73-2010,FALSE)*Y73</f>
        <v>0</v>
      </c>
      <c r="AC73">
        <f>VLOOKUP(AA73,pxcopeau,$D73-2010,FALSE)*Z73</f>
        <v>0</v>
      </c>
      <c r="AD73">
        <f t="shared" si="88"/>
        <v>21.75</v>
      </c>
      <c r="AE73">
        <f t="shared" si="89"/>
        <v>0</v>
      </c>
      <c r="AF73">
        <f t="shared" si="90"/>
        <v>10.5</v>
      </c>
      <c r="AG73">
        <f t="shared" si="91"/>
        <v>11.25</v>
      </c>
      <c r="AH73">
        <f t="shared" si="92"/>
        <v>0</v>
      </c>
      <c r="AI73">
        <f t="shared" si="93"/>
        <v>21.75</v>
      </c>
      <c r="AJ73">
        <f t="shared" si="94"/>
        <v>0</v>
      </c>
      <c r="AK73">
        <f t="shared" si="82"/>
        <v>22.359000000000002</v>
      </c>
      <c r="AL73">
        <f t="shared" si="83"/>
        <v>0</v>
      </c>
      <c r="AM73">
        <f>IFERROR(MIN(AL73,VLOOKUP(CONCATENATE(C73,"-to lingot"),negchutes,D73-2007,FALSE)),0)</f>
        <v>0</v>
      </c>
      <c r="AN73">
        <f t="shared" si="95"/>
        <v>0</v>
      </c>
      <c r="AO73" t="str">
        <f t="shared" si="96"/>
        <v>SO</v>
      </c>
      <c r="AP73">
        <f>IF(AR73=0,0,IFERROR(VLOOKUP(CONCATENATE($C73,"-to massif"),negchutes,$D73-2007,FALSE),0)*AM73/AR73)</f>
        <v>0</v>
      </c>
      <c r="AQ73">
        <f>IF(AR73=0,0,IFERROR(VLOOKUP(CONCATENATE($C73,"-to copeaux"),negchutes,$D73-2007,FALSE),0)*AM73/AR73)</f>
        <v>0</v>
      </c>
      <c r="AR73">
        <f>IFERROR(VLOOKUP(CONCATENATE($C73,"-to lingot"),negchutes,$D73-2007,FALSE),0)</f>
        <v>0</v>
      </c>
      <c r="AS73">
        <f>IF(AR73=0,0,AP73*VLOOKUP(CONCATENATE($C73,"-ac massif"),negchutes,$D73-2007,FALSE))</f>
        <v>0</v>
      </c>
      <c r="AT73">
        <f>IF(AR73=0,0,AQ73*VLOOKUP(CONCATENATE($C73,"-ac copeaux"),negchutes,$D73-2007,FALSE))</f>
        <v>0</v>
      </c>
      <c r="AU73">
        <f t="shared" si="84"/>
        <v>0</v>
      </c>
      <c r="AV73">
        <f>IFERROR(VLOOKUP(CONCATENATE(C73,"-px lingot"),negchutes,D73-2007,FALSE),0)*AM73</f>
        <v>0</v>
      </c>
      <c r="AW73">
        <f>AN73*VLOOKUP("Marché 1",pxlingot,D73-2010,FALSE)</f>
        <v>0</v>
      </c>
      <c r="AX73">
        <f t="shared" si="97"/>
        <v>0</v>
      </c>
      <c r="AY73" t="str">
        <f t="shared" si="85"/>
        <v>VAR</v>
      </c>
      <c r="AZ73">
        <f t="shared" si="86"/>
        <v>10.794</v>
      </c>
      <c r="BA73">
        <f>MAX(VLOOKUP(VLOOKUP(C73,descmarche,28,FALSE),pxlingot,D73-2010,FALSE),AX73)</f>
        <v>0</v>
      </c>
      <c r="BB73">
        <f t="shared" si="98"/>
        <v>0</v>
      </c>
      <c r="BC73" t="str">
        <f t="shared" si="87"/>
        <v>SO</v>
      </c>
    </row>
    <row r="74" spans="1:55" x14ac:dyDescent="0.25">
      <c r="A74" t="s">
        <v>16</v>
      </c>
      <c r="B74" s="4" t="s">
        <v>47</v>
      </c>
      <c r="C74" t="str">
        <f t="shared" si="99"/>
        <v>UKTMP-06</v>
      </c>
      <c r="D74">
        <v>2018</v>
      </c>
      <c r="E74">
        <v>200</v>
      </c>
      <c r="F74" t="str">
        <f t="shared" si="65"/>
        <v>Motoristes Aubes</v>
      </c>
      <c r="G74" t="str">
        <f t="shared" si="66"/>
        <v>Motoristes Aubes source UKTMP</v>
      </c>
      <c r="H74" t="str">
        <f t="shared" si="40"/>
        <v>Aval UKAD</v>
      </c>
      <c r="I74">
        <f t="shared" si="67"/>
        <v>5</v>
      </c>
      <c r="J74">
        <f t="shared" si="68"/>
        <v>1411</v>
      </c>
      <c r="K74">
        <f t="shared" si="69"/>
        <v>200</v>
      </c>
      <c r="L74">
        <f t="shared" si="70"/>
        <v>282.2</v>
      </c>
      <c r="M74">
        <f t="shared" si="71"/>
        <v>10.5</v>
      </c>
      <c r="N74">
        <f t="shared" si="72"/>
        <v>0</v>
      </c>
      <c r="O74" t="str">
        <f t="shared" si="73"/>
        <v>Marché 1</v>
      </c>
      <c r="P74">
        <f>VLOOKUP(O74,pxmassif,D74-2010,FALSE)*M74</f>
        <v>131.25</v>
      </c>
      <c r="Q74">
        <f>VLOOKUP(O74,pxcopeau,D74-2010,FALSE)*N74</f>
        <v>0</v>
      </c>
      <c r="R74" t="str">
        <f t="shared" si="74"/>
        <v>BA pour UKAD</v>
      </c>
      <c r="S74">
        <f t="shared" si="75"/>
        <v>11.25</v>
      </c>
      <c r="T74">
        <f t="shared" si="76"/>
        <v>0</v>
      </c>
      <c r="U74" t="str">
        <f t="shared" si="77"/>
        <v>Marché 1</v>
      </c>
      <c r="V74">
        <f>VLOOKUP(U74,pxmassif,$D74-2010,FALSE)*S74</f>
        <v>140.625</v>
      </c>
      <c r="W74">
        <f>VLOOKUP(U74,pxcopeau,$D74-2010,FALSE)*T74</f>
        <v>0</v>
      </c>
      <c r="X74" t="str">
        <f t="shared" si="78"/>
        <v>SO</v>
      </c>
      <c r="Y74">
        <f t="shared" si="79"/>
        <v>0</v>
      </c>
      <c r="Z74">
        <f t="shared" si="80"/>
        <v>0</v>
      </c>
      <c r="AA74" t="str">
        <f t="shared" si="81"/>
        <v>Marché 1</v>
      </c>
      <c r="AB74">
        <f>VLOOKUP(AA74,pxmassif,$D74-2010,FALSE)*Y74</f>
        <v>0</v>
      </c>
      <c r="AC74">
        <f>VLOOKUP(AA74,pxcopeau,$D74-2010,FALSE)*Z74</f>
        <v>0</v>
      </c>
      <c r="AD74">
        <f t="shared" si="88"/>
        <v>21.75</v>
      </c>
      <c r="AE74">
        <f t="shared" si="89"/>
        <v>0</v>
      </c>
      <c r="AF74">
        <f t="shared" si="90"/>
        <v>10.5</v>
      </c>
      <c r="AG74">
        <f t="shared" si="91"/>
        <v>11.25</v>
      </c>
      <c r="AH74">
        <f t="shared" si="92"/>
        <v>0</v>
      </c>
      <c r="AI74">
        <f t="shared" si="93"/>
        <v>21.75</v>
      </c>
      <c r="AJ74">
        <f t="shared" si="94"/>
        <v>0</v>
      </c>
      <c r="AK74">
        <f t="shared" si="82"/>
        <v>22.359000000000002</v>
      </c>
      <c r="AL74">
        <f t="shared" si="83"/>
        <v>0</v>
      </c>
      <c r="AM74">
        <f>IFERROR(MIN(AL74,VLOOKUP(CONCATENATE(C74,"-to lingot"),negchutes,D74-2007,FALSE)),0)</f>
        <v>0</v>
      </c>
      <c r="AN74">
        <f t="shared" si="95"/>
        <v>0</v>
      </c>
      <c r="AO74" t="str">
        <f t="shared" si="96"/>
        <v>SO</v>
      </c>
      <c r="AP74">
        <f>IF(AR74=0,0,IFERROR(VLOOKUP(CONCATENATE($C74,"-to massif"),negchutes,$D74-2007,FALSE),0)*AM74/AR74)</f>
        <v>0</v>
      </c>
      <c r="AQ74">
        <f>IF(AR74=0,0,IFERROR(VLOOKUP(CONCATENATE($C74,"-to copeaux"),negchutes,$D74-2007,FALSE),0)*AM74/AR74)</f>
        <v>0</v>
      </c>
      <c r="AR74">
        <f>IFERROR(VLOOKUP(CONCATENATE($C74,"-to lingot"),negchutes,$D74-2007,FALSE),0)</f>
        <v>0</v>
      </c>
      <c r="AS74">
        <f>IF(AR74=0,0,AP74*VLOOKUP(CONCATENATE($C74,"-ac massif"),negchutes,$D74-2007,FALSE))</f>
        <v>0</v>
      </c>
      <c r="AT74">
        <f>IF(AR74=0,0,AQ74*VLOOKUP(CONCATENATE($C74,"-ac copeaux"),negchutes,$D74-2007,FALSE))</f>
        <v>0</v>
      </c>
      <c r="AU74">
        <f t="shared" si="84"/>
        <v>0</v>
      </c>
      <c r="AV74">
        <f>IFERROR(VLOOKUP(CONCATENATE(C74,"-px lingot"),negchutes,D74-2007,FALSE),0)*AM74</f>
        <v>0</v>
      </c>
      <c r="AW74">
        <f>AN74*VLOOKUP("Marché 1",pxlingot,D74-2010,FALSE)</f>
        <v>0</v>
      </c>
      <c r="AX74">
        <f t="shared" si="97"/>
        <v>0</v>
      </c>
      <c r="AY74" t="str">
        <f t="shared" si="85"/>
        <v>VAR</v>
      </c>
      <c r="AZ74">
        <f t="shared" si="86"/>
        <v>10.794</v>
      </c>
      <c r="BA74">
        <f>MAX(VLOOKUP(VLOOKUP(C74,descmarche,28,FALSE),pxlingot,D74-2010,FALSE),AX74)</f>
        <v>0</v>
      </c>
      <c r="BB74">
        <f t="shared" si="98"/>
        <v>0</v>
      </c>
      <c r="BC74" t="str">
        <f t="shared" si="87"/>
        <v>SO</v>
      </c>
    </row>
    <row r="75" spans="1:55" x14ac:dyDescent="0.25">
      <c r="A75" t="s">
        <v>16</v>
      </c>
      <c r="B75" s="4" t="s">
        <v>47</v>
      </c>
      <c r="C75" t="str">
        <f t="shared" si="99"/>
        <v>UKTMP-06</v>
      </c>
      <c r="D75">
        <v>2019</v>
      </c>
      <c r="E75">
        <v>200</v>
      </c>
      <c r="F75" t="str">
        <f t="shared" si="65"/>
        <v>Motoristes Aubes</v>
      </c>
      <c r="G75" t="str">
        <f t="shared" si="66"/>
        <v>Motoristes Aubes source UKTMP</v>
      </c>
      <c r="H75" t="str">
        <f t="shared" si="40"/>
        <v>Aval UKAD</v>
      </c>
      <c r="I75">
        <f t="shared" si="67"/>
        <v>5</v>
      </c>
      <c r="J75">
        <f t="shared" si="68"/>
        <v>1411</v>
      </c>
      <c r="K75">
        <f t="shared" si="69"/>
        <v>200</v>
      </c>
      <c r="L75">
        <f t="shared" si="70"/>
        <v>282.2</v>
      </c>
      <c r="M75">
        <f t="shared" si="71"/>
        <v>10.5</v>
      </c>
      <c r="N75">
        <f t="shared" si="72"/>
        <v>0</v>
      </c>
      <c r="O75" t="str">
        <f t="shared" si="73"/>
        <v>Marché 1</v>
      </c>
      <c r="P75">
        <f>VLOOKUP(O75,pxmassif,D75-2010,FALSE)*M75</f>
        <v>131.25</v>
      </c>
      <c r="Q75">
        <f>VLOOKUP(O75,pxcopeau,D75-2010,FALSE)*N75</f>
        <v>0</v>
      </c>
      <c r="R75" t="str">
        <f t="shared" si="74"/>
        <v>BA pour UKAD</v>
      </c>
      <c r="S75">
        <f t="shared" si="75"/>
        <v>11.25</v>
      </c>
      <c r="T75">
        <f t="shared" si="76"/>
        <v>0</v>
      </c>
      <c r="U75" t="str">
        <f t="shared" si="77"/>
        <v>Marché 1</v>
      </c>
      <c r="V75">
        <f>VLOOKUP(U75,pxmassif,$D75-2010,FALSE)*S75</f>
        <v>140.625</v>
      </c>
      <c r="W75">
        <f>VLOOKUP(U75,pxcopeau,$D75-2010,FALSE)*T75</f>
        <v>0</v>
      </c>
      <c r="X75" t="str">
        <f t="shared" si="78"/>
        <v>SO</v>
      </c>
      <c r="Y75">
        <f t="shared" si="79"/>
        <v>0</v>
      </c>
      <c r="Z75">
        <f t="shared" si="80"/>
        <v>0</v>
      </c>
      <c r="AA75" t="str">
        <f t="shared" si="81"/>
        <v>Marché 1</v>
      </c>
      <c r="AB75">
        <f>VLOOKUP(AA75,pxmassif,$D75-2010,FALSE)*Y75</f>
        <v>0</v>
      </c>
      <c r="AC75">
        <f>VLOOKUP(AA75,pxcopeau,$D75-2010,FALSE)*Z75</f>
        <v>0</v>
      </c>
      <c r="AD75">
        <f t="shared" si="88"/>
        <v>21.75</v>
      </c>
      <c r="AE75">
        <f t="shared" si="89"/>
        <v>0</v>
      </c>
      <c r="AF75">
        <f t="shared" si="90"/>
        <v>10.5</v>
      </c>
      <c r="AG75">
        <f t="shared" si="91"/>
        <v>11.25</v>
      </c>
      <c r="AH75">
        <f t="shared" si="92"/>
        <v>0</v>
      </c>
      <c r="AI75">
        <f t="shared" si="93"/>
        <v>21.75</v>
      </c>
      <c r="AJ75">
        <f t="shared" si="94"/>
        <v>0</v>
      </c>
      <c r="AK75">
        <f t="shared" si="82"/>
        <v>22.359000000000002</v>
      </c>
      <c r="AL75">
        <f t="shared" si="83"/>
        <v>0</v>
      </c>
      <c r="AM75">
        <f>IFERROR(MIN(AL75,VLOOKUP(CONCATENATE(C75,"-to lingot"),negchutes,D75-2007,FALSE)),0)</f>
        <v>0</v>
      </c>
      <c r="AN75">
        <f t="shared" si="95"/>
        <v>0</v>
      </c>
      <c r="AO75" t="str">
        <f t="shared" si="96"/>
        <v>SO</v>
      </c>
      <c r="AP75">
        <f>IF(AR75=0,0,IFERROR(VLOOKUP(CONCATENATE($C75,"-to massif"),negchutes,$D75-2007,FALSE),0)*AM75/AR75)</f>
        <v>0</v>
      </c>
      <c r="AQ75">
        <f>IF(AR75=0,0,IFERROR(VLOOKUP(CONCATENATE($C75,"-to copeaux"),negchutes,$D75-2007,FALSE),0)*AM75/AR75)</f>
        <v>0</v>
      </c>
      <c r="AR75">
        <f>IFERROR(VLOOKUP(CONCATENATE($C75,"-to lingot"),negchutes,$D75-2007,FALSE),0)</f>
        <v>0</v>
      </c>
      <c r="AS75">
        <f>IF(AR75=0,0,AP75*VLOOKUP(CONCATENATE($C75,"-ac massif"),negchutes,$D75-2007,FALSE))</f>
        <v>0</v>
      </c>
      <c r="AT75">
        <f>IF(AR75=0,0,AQ75*VLOOKUP(CONCATENATE($C75,"-ac copeaux"),negchutes,$D75-2007,FALSE))</f>
        <v>0</v>
      </c>
      <c r="AU75">
        <f t="shared" si="84"/>
        <v>0</v>
      </c>
      <c r="AV75">
        <f>IFERROR(VLOOKUP(CONCATENATE(C75,"-px lingot"),negchutes,D75-2007,FALSE),0)*AM75</f>
        <v>0</v>
      </c>
      <c r="AW75">
        <f>AN75*VLOOKUP("Marché 1",pxlingot,D75-2010,FALSE)</f>
        <v>0</v>
      </c>
      <c r="AX75">
        <f t="shared" si="97"/>
        <v>0</v>
      </c>
      <c r="AY75" t="str">
        <f t="shared" si="85"/>
        <v>VAR</v>
      </c>
      <c r="AZ75">
        <f t="shared" si="86"/>
        <v>10.794</v>
      </c>
      <c r="BA75">
        <f>MAX(VLOOKUP(VLOOKUP(C75,descmarche,28,FALSE),pxlingot,D75-2010,FALSE),AX75)</f>
        <v>0</v>
      </c>
      <c r="BB75">
        <f t="shared" si="98"/>
        <v>0</v>
      </c>
      <c r="BC75" t="str">
        <f t="shared" si="87"/>
        <v>SO</v>
      </c>
    </row>
    <row r="76" spans="1:55" x14ac:dyDescent="0.25">
      <c r="A76" t="s">
        <v>16</v>
      </c>
      <c r="B76" s="4" t="s">
        <v>47</v>
      </c>
      <c r="C76" t="str">
        <f t="shared" si="99"/>
        <v>UKTMP-06</v>
      </c>
      <c r="D76">
        <v>2020</v>
      </c>
      <c r="E76">
        <v>200</v>
      </c>
      <c r="F76" t="str">
        <f t="shared" si="65"/>
        <v>Motoristes Aubes</v>
      </c>
      <c r="G76" t="str">
        <f t="shared" si="66"/>
        <v>Motoristes Aubes source UKTMP</v>
      </c>
      <c r="H76" t="str">
        <f t="shared" si="40"/>
        <v>Aval UKAD</v>
      </c>
      <c r="I76">
        <f t="shared" si="67"/>
        <v>5</v>
      </c>
      <c r="J76">
        <f t="shared" si="68"/>
        <v>1411</v>
      </c>
      <c r="K76">
        <f t="shared" si="69"/>
        <v>200</v>
      </c>
      <c r="L76">
        <f t="shared" si="70"/>
        <v>282.2</v>
      </c>
      <c r="M76">
        <f t="shared" si="71"/>
        <v>10.5</v>
      </c>
      <c r="N76">
        <f t="shared" si="72"/>
        <v>0</v>
      </c>
      <c r="O76" t="str">
        <f t="shared" si="73"/>
        <v>Marché 1</v>
      </c>
      <c r="P76">
        <f>VLOOKUP(O76,pxmassif,D76-2010,FALSE)*M76</f>
        <v>131.25</v>
      </c>
      <c r="Q76">
        <f>VLOOKUP(O76,pxcopeau,D76-2010,FALSE)*N76</f>
        <v>0</v>
      </c>
      <c r="R76" t="str">
        <f t="shared" si="74"/>
        <v>BA pour UKAD</v>
      </c>
      <c r="S76">
        <f t="shared" si="75"/>
        <v>11.25</v>
      </c>
      <c r="T76">
        <f t="shared" si="76"/>
        <v>0</v>
      </c>
      <c r="U76" t="str">
        <f t="shared" si="77"/>
        <v>Marché 1</v>
      </c>
      <c r="V76">
        <f>VLOOKUP(U76,pxmassif,$D76-2010,FALSE)*S76</f>
        <v>140.625</v>
      </c>
      <c r="W76">
        <f>VLOOKUP(U76,pxcopeau,$D76-2010,FALSE)*T76</f>
        <v>0</v>
      </c>
      <c r="X76" t="str">
        <f t="shared" si="78"/>
        <v>SO</v>
      </c>
      <c r="Y76">
        <f t="shared" si="79"/>
        <v>0</v>
      </c>
      <c r="Z76">
        <f t="shared" si="80"/>
        <v>0</v>
      </c>
      <c r="AA76" t="str">
        <f t="shared" si="81"/>
        <v>Marché 1</v>
      </c>
      <c r="AB76">
        <f>VLOOKUP(AA76,pxmassif,$D76-2010,FALSE)*Y76</f>
        <v>0</v>
      </c>
      <c r="AC76">
        <f>VLOOKUP(AA76,pxcopeau,$D76-2010,FALSE)*Z76</f>
        <v>0</v>
      </c>
      <c r="AD76">
        <f t="shared" si="88"/>
        <v>21.75</v>
      </c>
      <c r="AE76">
        <f t="shared" si="89"/>
        <v>0</v>
      </c>
      <c r="AF76">
        <f t="shared" si="90"/>
        <v>10.5</v>
      </c>
      <c r="AG76">
        <f t="shared" si="91"/>
        <v>11.25</v>
      </c>
      <c r="AH76">
        <f t="shared" si="92"/>
        <v>0</v>
      </c>
      <c r="AI76">
        <f t="shared" si="93"/>
        <v>21.75</v>
      </c>
      <c r="AJ76">
        <f t="shared" si="94"/>
        <v>0</v>
      </c>
      <c r="AK76">
        <f t="shared" si="82"/>
        <v>22.359000000000002</v>
      </c>
      <c r="AL76">
        <f t="shared" si="83"/>
        <v>0</v>
      </c>
      <c r="AM76">
        <f>IFERROR(MIN(AL76,VLOOKUP(CONCATENATE(C76,"-to lingot"),negchutes,D76-2007,FALSE)),0)</f>
        <v>0</v>
      </c>
      <c r="AN76">
        <f t="shared" si="95"/>
        <v>0</v>
      </c>
      <c r="AO76" t="str">
        <f t="shared" si="96"/>
        <v>SO</v>
      </c>
      <c r="AP76">
        <f>IF(AR76=0,0,IFERROR(VLOOKUP(CONCATENATE($C76,"-to massif"),negchutes,$D76-2007,FALSE),0)*AM76/AR76)</f>
        <v>0</v>
      </c>
      <c r="AQ76">
        <f>IF(AR76=0,0,IFERROR(VLOOKUP(CONCATENATE($C76,"-to copeaux"),negchutes,$D76-2007,FALSE),0)*AM76/AR76)</f>
        <v>0</v>
      </c>
      <c r="AR76">
        <f>IFERROR(VLOOKUP(CONCATENATE($C76,"-to lingot"),negchutes,$D76-2007,FALSE),0)</f>
        <v>0</v>
      </c>
      <c r="AS76">
        <f>IF(AR76=0,0,AP76*VLOOKUP(CONCATENATE($C76,"-ac massif"),negchutes,$D76-2007,FALSE))</f>
        <v>0</v>
      </c>
      <c r="AT76">
        <f>IF(AR76=0,0,AQ76*VLOOKUP(CONCATENATE($C76,"-ac copeaux"),negchutes,$D76-2007,FALSE))</f>
        <v>0</v>
      </c>
      <c r="AU76">
        <f t="shared" si="84"/>
        <v>0</v>
      </c>
      <c r="AV76">
        <f>IFERROR(VLOOKUP(CONCATENATE(C76,"-px lingot"),negchutes,D76-2007,FALSE),0)*AM76</f>
        <v>0</v>
      </c>
      <c r="AW76">
        <f>AN76*VLOOKUP("Marché 1",pxlingot,D76-2010,FALSE)</f>
        <v>0</v>
      </c>
      <c r="AX76">
        <f t="shared" si="97"/>
        <v>0</v>
      </c>
      <c r="AY76" t="str">
        <f t="shared" si="85"/>
        <v>VAR</v>
      </c>
      <c r="AZ76">
        <f t="shared" si="86"/>
        <v>10.794</v>
      </c>
      <c r="BA76">
        <f>MAX(VLOOKUP(VLOOKUP(C76,descmarche,28,FALSE),pxlingot,D76-2010,FALSE),AX76)</f>
        <v>0</v>
      </c>
      <c r="BB76">
        <f t="shared" si="98"/>
        <v>0</v>
      </c>
      <c r="BC76" t="str">
        <f t="shared" si="87"/>
        <v>SO</v>
      </c>
    </row>
    <row r="77" spans="1:55" x14ac:dyDescent="0.25">
      <c r="A77" t="s">
        <v>16</v>
      </c>
      <c r="B77" s="4" t="s">
        <v>47</v>
      </c>
      <c r="C77" t="str">
        <f t="shared" si="99"/>
        <v>UKTMP-06</v>
      </c>
      <c r="D77">
        <v>2021</v>
      </c>
      <c r="E77">
        <v>200</v>
      </c>
      <c r="F77" t="str">
        <f t="shared" si="65"/>
        <v>Motoristes Aubes</v>
      </c>
      <c r="G77" t="str">
        <f t="shared" si="66"/>
        <v>Motoristes Aubes source UKTMP</v>
      </c>
      <c r="H77" t="str">
        <f t="shared" si="40"/>
        <v>Aval UKAD</v>
      </c>
      <c r="I77">
        <f t="shared" si="67"/>
        <v>5</v>
      </c>
      <c r="J77">
        <f t="shared" si="68"/>
        <v>1411</v>
      </c>
      <c r="K77">
        <f t="shared" si="69"/>
        <v>200</v>
      </c>
      <c r="L77">
        <f t="shared" si="70"/>
        <v>282.2</v>
      </c>
      <c r="M77">
        <f t="shared" si="71"/>
        <v>10.5</v>
      </c>
      <c r="N77">
        <f t="shared" si="72"/>
        <v>0</v>
      </c>
      <c r="O77" t="str">
        <f t="shared" si="73"/>
        <v>Marché 1</v>
      </c>
      <c r="P77">
        <f>VLOOKUP(O77,pxmassif,D77-2010,FALSE)*M77</f>
        <v>131.25</v>
      </c>
      <c r="Q77">
        <f>VLOOKUP(O77,pxcopeau,D77-2010,FALSE)*N77</f>
        <v>0</v>
      </c>
      <c r="R77" t="str">
        <f t="shared" si="74"/>
        <v>BA pour UKAD</v>
      </c>
      <c r="S77">
        <f t="shared" si="75"/>
        <v>11.25</v>
      </c>
      <c r="T77">
        <f t="shared" si="76"/>
        <v>0</v>
      </c>
      <c r="U77" t="str">
        <f t="shared" si="77"/>
        <v>Marché 1</v>
      </c>
      <c r="V77">
        <f>VLOOKUP(U77,pxmassif,$D77-2010,FALSE)*S77</f>
        <v>140.625</v>
      </c>
      <c r="W77">
        <f>VLOOKUP(U77,pxcopeau,$D77-2010,FALSE)*T77</f>
        <v>0</v>
      </c>
      <c r="X77" t="str">
        <f t="shared" si="78"/>
        <v>SO</v>
      </c>
      <c r="Y77">
        <f t="shared" si="79"/>
        <v>0</v>
      </c>
      <c r="Z77">
        <f t="shared" si="80"/>
        <v>0</v>
      </c>
      <c r="AA77" t="str">
        <f t="shared" si="81"/>
        <v>Marché 1</v>
      </c>
      <c r="AB77">
        <f>VLOOKUP(AA77,pxmassif,$D77-2010,FALSE)*Y77</f>
        <v>0</v>
      </c>
      <c r="AC77">
        <f>VLOOKUP(AA77,pxcopeau,$D77-2010,FALSE)*Z77</f>
        <v>0</v>
      </c>
      <c r="AD77">
        <f t="shared" si="88"/>
        <v>21.75</v>
      </c>
      <c r="AE77">
        <f t="shared" si="89"/>
        <v>0</v>
      </c>
      <c r="AF77">
        <f t="shared" si="90"/>
        <v>10.5</v>
      </c>
      <c r="AG77">
        <f t="shared" si="91"/>
        <v>11.25</v>
      </c>
      <c r="AH77">
        <f t="shared" si="92"/>
        <v>0</v>
      </c>
      <c r="AI77">
        <f t="shared" si="93"/>
        <v>21.75</v>
      </c>
      <c r="AJ77">
        <f t="shared" si="94"/>
        <v>0</v>
      </c>
      <c r="AK77">
        <f t="shared" si="82"/>
        <v>22.359000000000002</v>
      </c>
      <c r="AL77">
        <f t="shared" si="83"/>
        <v>0</v>
      </c>
      <c r="AM77">
        <f>IFERROR(MIN(AL77,VLOOKUP(CONCATENATE(C77,"-to lingot"),negchutes,D77-2007,FALSE)),0)</f>
        <v>0</v>
      </c>
      <c r="AN77">
        <f t="shared" si="95"/>
        <v>0</v>
      </c>
      <c r="AO77" t="str">
        <f t="shared" si="96"/>
        <v>SO</v>
      </c>
      <c r="AP77">
        <f>IF(AR77=0,0,IFERROR(VLOOKUP(CONCATENATE($C77,"-to massif"),negchutes,$D77-2007,FALSE),0)*AM77/AR77)</f>
        <v>0</v>
      </c>
      <c r="AQ77">
        <f>IF(AR77=0,0,IFERROR(VLOOKUP(CONCATENATE($C77,"-to copeaux"),negchutes,$D77-2007,FALSE),0)*AM77/AR77)</f>
        <v>0</v>
      </c>
      <c r="AR77">
        <f>IFERROR(VLOOKUP(CONCATENATE($C77,"-to lingot"),negchutes,$D77-2007,FALSE),0)</f>
        <v>0</v>
      </c>
      <c r="AS77">
        <f>IF(AR77=0,0,AP77*VLOOKUP(CONCATENATE($C77,"-ac massif"),negchutes,$D77-2007,FALSE))</f>
        <v>0</v>
      </c>
      <c r="AT77">
        <f>IF(AR77=0,0,AQ77*VLOOKUP(CONCATENATE($C77,"-ac copeaux"),negchutes,$D77-2007,FALSE))</f>
        <v>0</v>
      </c>
      <c r="AU77">
        <f t="shared" si="84"/>
        <v>0</v>
      </c>
      <c r="AV77">
        <f>IFERROR(VLOOKUP(CONCATENATE(C77,"-px lingot"),negchutes,D77-2007,FALSE),0)*AM77</f>
        <v>0</v>
      </c>
      <c r="AW77">
        <f>AN77*VLOOKUP("Marché 1",pxlingot,D77-2010,FALSE)</f>
        <v>0</v>
      </c>
      <c r="AX77">
        <f t="shared" si="97"/>
        <v>0</v>
      </c>
      <c r="AY77" t="str">
        <f t="shared" si="85"/>
        <v>VAR</v>
      </c>
      <c r="AZ77">
        <f t="shared" si="86"/>
        <v>10.794</v>
      </c>
      <c r="BA77">
        <f>MAX(VLOOKUP(VLOOKUP(C77,descmarche,28,FALSE),pxlingot,D77-2010,FALSE),AX77)</f>
        <v>0</v>
      </c>
      <c r="BB77">
        <f t="shared" si="98"/>
        <v>0</v>
      </c>
      <c r="BC77" t="str">
        <f t="shared" si="87"/>
        <v>SO</v>
      </c>
    </row>
    <row r="78" spans="1:55" x14ac:dyDescent="0.25">
      <c r="A78" t="s">
        <v>16</v>
      </c>
      <c r="B78" s="4" t="s">
        <v>47</v>
      </c>
      <c r="C78" t="str">
        <f t="shared" si="99"/>
        <v>UKTMP-06</v>
      </c>
      <c r="D78">
        <v>2022</v>
      </c>
      <c r="E78">
        <v>200</v>
      </c>
      <c r="F78" t="str">
        <f t="shared" si="65"/>
        <v>Motoristes Aubes</v>
      </c>
      <c r="G78" t="str">
        <f t="shared" si="66"/>
        <v>Motoristes Aubes source UKTMP</v>
      </c>
      <c r="H78" t="str">
        <f t="shared" si="40"/>
        <v>Aval UKAD</v>
      </c>
      <c r="I78">
        <f t="shared" si="67"/>
        <v>5</v>
      </c>
      <c r="J78">
        <f t="shared" si="68"/>
        <v>1411</v>
      </c>
      <c r="K78">
        <f t="shared" si="69"/>
        <v>200</v>
      </c>
      <c r="L78">
        <f t="shared" si="70"/>
        <v>282.2</v>
      </c>
      <c r="M78">
        <f t="shared" si="71"/>
        <v>10.5</v>
      </c>
      <c r="N78">
        <f t="shared" si="72"/>
        <v>0</v>
      </c>
      <c r="O78" t="str">
        <f t="shared" si="73"/>
        <v>Marché 1</v>
      </c>
      <c r="P78">
        <f>VLOOKUP(O78,pxmassif,D78-2010,FALSE)*M78</f>
        <v>131.25</v>
      </c>
      <c r="Q78">
        <f>VLOOKUP(O78,pxcopeau,D78-2010,FALSE)*N78</f>
        <v>0</v>
      </c>
      <c r="R78" t="str">
        <f t="shared" si="74"/>
        <v>BA pour UKAD</v>
      </c>
      <c r="S78">
        <f t="shared" si="75"/>
        <v>11.25</v>
      </c>
      <c r="T78">
        <f t="shared" si="76"/>
        <v>0</v>
      </c>
      <c r="U78" t="str">
        <f t="shared" si="77"/>
        <v>Marché 1</v>
      </c>
      <c r="V78">
        <f>VLOOKUP(U78,pxmassif,$D78-2010,FALSE)*S78</f>
        <v>140.625</v>
      </c>
      <c r="W78">
        <f>VLOOKUP(U78,pxcopeau,$D78-2010,FALSE)*T78</f>
        <v>0</v>
      </c>
      <c r="X78" t="str">
        <f t="shared" si="78"/>
        <v>SO</v>
      </c>
      <c r="Y78">
        <f t="shared" si="79"/>
        <v>0</v>
      </c>
      <c r="Z78">
        <f t="shared" si="80"/>
        <v>0</v>
      </c>
      <c r="AA78" t="str">
        <f t="shared" si="81"/>
        <v>Marché 1</v>
      </c>
      <c r="AB78">
        <f>VLOOKUP(AA78,pxmassif,$D78-2010,FALSE)*Y78</f>
        <v>0</v>
      </c>
      <c r="AC78">
        <f>VLOOKUP(AA78,pxcopeau,$D78-2010,FALSE)*Z78</f>
        <v>0</v>
      </c>
      <c r="AD78">
        <f t="shared" si="88"/>
        <v>21.75</v>
      </c>
      <c r="AE78">
        <f t="shared" si="89"/>
        <v>0</v>
      </c>
      <c r="AF78">
        <f t="shared" si="90"/>
        <v>10.5</v>
      </c>
      <c r="AG78">
        <f t="shared" si="91"/>
        <v>11.25</v>
      </c>
      <c r="AH78">
        <f t="shared" si="92"/>
        <v>0</v>
      </c>
      <c r="AI78">
        <f t="shared" si="93"/>
        <v>21.75</v>
      </c>
      <c r="AJ78">
        <f t="shared" si="94"/>
        <v>0</v>
      </c>
      <c r="AK78">
        <f t="shared" si="82"/>
        <v>22.359000000000002</v>
      </c>
      <c r="AL78">
        <f t="shared" si="83"/>
        <v>0</v>
      </c>
      <c r="AM78">
        <f>IFERROR(MIN(AL78,VLOOKUP(CONCATENATE(C78,"-to lingot"),negchutes,D78-2007,FALSE)),0)</f>
        <v>0</v>
      </c>
      <c r="AN78">
        <f t="shared" si="95"/>
        <v>0</v>
      </c>
      <c r="AO78" t="str">
        <f t="shared" si="96"/>
        <v>SO</v>
      </c>
      <c r="AP78">
        <f>IF(AR78=0,0,IFERROR(VLOOKUP(CONCATENATE($C78,"-to massif"),negchutes,$D78-2007,FALSE),0)*AM78/AR78)</f>
        <v>0</v>
      </c>
      <c r="AQ78">
        <f>IF(AR78=0,0,IFERROR(VLOOKUP(CONCATENATE($C78,"-to copeaux"),negchutes,$D78-2007,FALSE),0)*AM78/AR78)</f>
        <v>0</v>
      </c>
      <c r="AR78">
        <f>IFERROR(VLOOKUP(CONCATENATE($C78,"-to lingot"),negchutes,$D78-2007,FALSE),0)</f>
        <v>0</v>
      </c>
      <c r="AS78">
        <f>IF(AR78=0,0,AP78*VLOOKUP(CONCATENATE($C78,"-ac massif"),negchutes,$D78-2007,FALSE))</f>
        <v>0</v>
      </c>
      <c r="AT78">
        <f>IF(AR78=0,0,AQ78*VLOOKUP(CONCATENATE($C78,"-ac copeaux"),negchutes,$D78-2007,FALSE))</f>
        <v>0</v>
      </c>
      <c r="AU78">
        <f t="shared" si="84"/>
        <v>0</v>
      </c>
      <c r="AV78">
        <f>IFERROR(VLOOKUP(CONCATENATE(C78,"-px lingot"),negchutes,D78-2007,FALSE),0)*AM78</f>
        <v>0</v>
      </c>
      <c r="AW78">
        <f>AN78*VLOOKUP("Marché 1",pxlingot,D78-2010,FALSE)</f>
        <v>0</v>
      </c>
      <c r="AX78">
        <f t="shared" si="97"/>
        <v>0</v>
      </c>
      <c r="AY78" t="str">
        <f t="shared" si="85"/>
        <v>VAR</v>
      </c>
      <c r="AZ78">
        <f t="shared" si="86"/>
        <v>10.794</v>
      </c>
      <c r="BA78">
        <f>MAX(VLOOKUP(VLOOKUP(C78,descmarche,28,FALSE),pxlingot,D78-2010,FALSE),AX78)</f>
        <v>0</v>
      </c>
      <c r="BB78">
        <f t="shared" si="98"/>
        <v>0</v>
      </c>
      <c r="BC78" t="str">
        <f t="shared" si="87"/>
        <v>SO</v>
      </c>
    </row>
    <row r="79" spans="1:55" x14ac:dyDescent="0.25">
      <c r="A79" t="s">
        <v>16</v>
      </c>
      <c r="B79" s="4" t="s">
        <v>47</v>
      </c>
      <c r="C79" t="str">
        <f t="shared" si="99"/>
        <v>UKTMP-06</v>
      </c>
      <c r="D79">
        <v>2023</v>
      </c>
      <c r="E79">
        <v>200</v>
      </c>
      <c r="F79" t="str">
        <f t="shared" si="65"/>
        <v>Motoristes Aubes</v>
      </c>
      <c r="G79" t="str">
        <f t="shared" si="66"/>
        <v>Motoristes Aubes source UKTMP</v>
      </c>
      <c r="H79" t="str">
        <f t="shared" si="40"/>
        <v>Aval UKAD</v>
      </c>
      <c r="I79">
        <f t="shared" si="67"/>
        <v>5</v>
      </c>
      <c r="J79">
        <f t="shared" si="68"/>
        <v>1411</v>
      </c>
      <c r="K79">
        <f t="shared" si="69"/>
        <v>200</v>
      </c>
      <c r="L79">
        <f t="shared" si="70"/>
        <v>282.2</v>
      </c>
      <c r="M79">
        <f t="shared" si="71"/>
        <v>10.5</v>
      </c>
      <c r="N79">
        <f t="shared" si="72"/>
        <v>0</v>
      </c>
      <c r="O79" t="str">
        <f t="shared" si="73"/>
        <v>Marché 1</v>
      </c>
      <c r="P79">
        <f>VLOOKUP(O79,pxmassif,D79-2010,FALSE)*M79</f>
        <v>131.25</v>
      </c>
      <c r="Q79">
        <f>VLOOKUP(O79,pxcopeau,D79-2010,FALSE)*N79</f>
        <v>0</v>
      </c>
      <c r="R79" t="str">
        <f t="shared" si="74"/>
        <v>BA pour UKAD</v>
      </c>
      <c r="S79">
        <f t="shared" si="75"/>
        <v>11.25</v>
      </c>
      <c r="T79">
        <f t="shared" si="76"/>
        <v>0</v>
      </c>
      <c r="U79" t="str">
        <f t="shared" si="77"/>
        <v>Marché 1</v>
      </c>
      <c r="V79">
        <f>VLOOKUP(U79,pxmassif,$D79-2010,FALSE)*S79</f>
        <v>140.625</v>
      </c>
      <c r="W79">
        <f>VLOOKUP(U79,pxcopeau,$D79-2010,FALSE)*T79</f>
        <v>0</v>
      </c>
      <c r="X79" t="str">
        <f t="shared" si="78"/>
        <v>SO</v>
      </c>
      <c r="Y79">
        <f t="shared" si="79"/>
        <v>0</v>
      </c>
      <c r="Z79">
        <f t="shared" si="80"/>
        <v>0</v>
      </c>
      <c r="AA79" t="str">
        <f t="shared" si="81"/>
        <v>Marché 1</v>
      </c>
      <c r="AB79">
        <f>VLOOKUP(AA79,pxmassif,$D79-2010,FALSE)*Y79</f>
        <v>0</v>
      </c>
      <c r="AC79">
        <f>VLOOKUP(AA79,pxcopeau,$D79-2010,FALSE)*Z79</f>
        <v>0</v>
      </c>
      <c r="AD79">
        <f t="shared" si="88"/>
        <v>21.75</v>
      </c>
      <c r="AE79">
        <f t="shared" si="89"/>
        <v>0</v>
      </c>
      <c r="AF79">
        <f t="shared" si="90"/>
        <v>10.5</v>
      </c>
      <c r="AG79">
        <f t="shared" si="91"/>
        <v>11.25</v>
      </c>
      <c r="AH79">
        <f t="shared" si="92"/>
        <v>0</v>
      </c>
      <c r="AI79">
        <f t="shared" si="93"/>
        <v>21.75</v>
      </c>
      <c r="AJ79">
        <f t="shared" si="94"/>
        <v>0</v>
      </c>
      <c r="AK79">
        <f t="shared" si="82"/>
        <v>22.359000000000002</v>
      </c>
      <c r="AL79">
        <f t="shared" si="83"/>
        <v>0</v>
      </c>
      <c r="AM79">
        <f>IFERROR(MIN(AL79,VLOOKUP(CONCATENATE(C79,"-to lingot"),negchutes,D79-2007,FALSE)),0)</f>
        <v>0</v>
      </c>
      <c r="AN79">
        <f t="shared" si="95"/>
        <v>0</v>
      </c>
      <c r="AO79" t="str">
        <f t="shared" si="96"/>
        <v>SO</v>
      </c>
      <c r="AP79">
        <f>IF(AR79=0,0,IFERROR(VLOOKUP(CONCATENATE($C79,"-to massif"),negchutes,$D79-2007,FALSE),0)*AM79/AR79)</f>
        <v>0</v>
      </c>
      <c r="AQ79">
        <f>IF(AR79=0,0,IFERROR(VLOOKUP(CONCATENATE($C79,"-to copeaux"),negchutes,$D79-2007,FALSE),0)*AM79/AR79)</f>
        <v>0</v>
      </c>
      <c r="AR79">
        <f>IFERROR(VLOOKUP(CONCATENATE($C79,"-to lingot"),negchutes,$D79-2007,FALSE),0)</f>
        <v>0</v>
      </c>
      <c r="AS79">
        <f>IF(AR79=0,0,AP79*VLOOKUP(CONCATENATE($C79,"-ac massif"),negchutes,$D79-2007,FALSE))</f>
        <v>0</v>
      </c>
      <c r="AT79">
        <f>IF(AR79=0,0,AQ79*VLOOKUP(CONCATENATE($C79,"-ac copeaux"),negchutes,$D79-2007,FALSE))</f>
        <v>0</v>
      </c>
      <c r="AU79">
        <f t="shared" si="84"/>
        <v>0</v>
      </c>
      <c r="AV79">
        <f>IFERROR(VLOOKUP(CONCATENATE(C79,"-px lingot"),negchutes,D79-2007,FALSE),0)*AM79</f>
        <v>0</v>
      </c>
      <c r="AW79">
        <f>AN79*VLOOKUP("Marché 1",pxlingot,D79-2010,FALSE)</f>
        <v>0</v>
      </c>
      <c r="AX79">
        <f t="shared" si="97"/>
        <v>0</v>
      </c>
      <c r="AY79" t="str">
        <f t="shared" si="85"/>
        <v>VAR</v>
      </c>
      <c r="AZ79">
        <f t="shared" si="86"/>
        <v>10.794</v>
      </c>
      <c r="BA79">
        <f>MAX(VLOOKUP(VLOOKUP(C79,descmarche,28,FALSE),pxlingot,D79-2010,FALSE),AX79)</f>
        <v>0</v>
      </c>
      <c r="BB79">
        <f t="shared" si="98"/>
        <v>0</v>
      </c>
      <c r="BC79" t="str">
        <f t="shared" si="87"/>
        <v>SO</v>
      </c>
    </row>
    <row r="80" spans="1:55" x14ac:dyDescent="0.25">
      <c r="A80" t="s">
        <v>16</v>
      </c>
      <c r="B80" s="4" t="s">
        <v>47</v>
      </c>
      <c r="C80" t="str">
        <f t="shared" si="99"/>
        <v>UKTMP-06</v>
      </c>
      <c r="D80">
        <v>2024</v>
      </c>
      <c r="E80">
        <v>200</v>
      </c>
      <c r="F80" t="str">
        <f t="shared" si="65"/>
        <v>Motoristes Aubes</v>
      </c>
      <c r="G80" t="str">
        <f t="shared" si="66"/>
        <v>Motoristes Aubes source UKTMP</v>
      </c>
      <c r="H80" t="str">
        <f t="shared" si="40"/>
        <v>Aval UKAD</v>
      </c>
      <c r="I80">
        <f t="shared" si="67"/>
        <v>5</v>
      </c>
      <c r="J80">
        <f t="shared" si="68"/>
        <v>1411</v>
      </c>
      <c r="K80">
        <f t="shared" si="69"/>
        <v>200</v>
      </c>
      <c r="L80">
        <f t="shared" si="70"/>
        <v>282.2</v>
      </c>
      <c r="M80">
        <f t="shared" si="71"/>
        <v>10.5</v>
      </c>
      <c r="N80">
        <f t="shared" si="72"/>
        <v>0</v>
      </c>
      <c r="O80" t="str">
        <f t="shared" si="73"/>
        <v>Marché 1</v>
      </c>
      <c r="P80">
        <f>VLOOKUP(O80,pxmassif,D80-2010,FALSE)*M80</f>
        <v>131.25</v>
      </c>
      <c r="Q80">
        <f>VLOOKUP(O80,pxcopeau,D80-2010,FALSE)*N80</f>
        <v>0</v>
      </c>
      <c r="R80" t="str">
        <f t="shared" si="74"/>
        <v>BA pour UKAD</v>
      </c>
      <c r="S80">
        <f t="shared" si="75"/>
        <v>11.25</v>
      </c>
      <c r="T80">
        <f t="shared" si="76"/>
        <v>0</v>
      </c>
      <c r="U80" t="str">
        <f t="shared" si="77"/>
        <v>Marché 1</v>
      </c>
      <c r="V80">
        <f>VLOOKUP(U80,pxmassif,$D80-2010,FALSE)*S80</f>
        <v>140.625</v>
      </c>
      <c r="W80">
        <f>VLOOKUP(U80,pxcopeau,$D80-2010,FALSE)*T80</f>
        <v>0</v>
      </c>
      <c r="X80" t="str">
        <f t="shared" si="78"/>
        <v>SO</v>
      </c>
      <c r="Y80">
        <f t="shared" si="79"/>
        <v>0</v>
      </c>
      <c r="Z80">
        <f t="shared" si="80"/>
        <v>0</v>
      </c>
      <c r="AA80" t="str">
        <f t="shared" si="81"/>
        <v>Marché 1</v>
      </c>
      <c r="AB80">
        <f>VLOOKUP(AA80,pxmassif,$D80-2010,FALSE)*Y80</f>
        <v>0</v>
      </c>
      <c r="AC80">
        <f>VLOOKUP(AA80,pxcopeau,$D80-2010,FALSE)*Z80</f>
        <v>0</v>
      </c>
      <c r="AD80">
        <f t="shared" si="88"/>
        <v>21.75</v>
      </c>
      <c r="AE80">
        <f t="shared" si="89"/>
        <v>0</v>
      </c>
      <c r="AF80">
        <f t="shared" si="90"/>
        <v>10.5</v>
      </c>
      <c r="AG80">
        <f t="shared" si="91"/>
        <v>11.25</v>
      </c>
      <c r="AH80">
        <f t="shared" si="92"/>
        <v>0</v>
      </c>
      <c r="AI80">
        <f t="shared" si="93"/>
        <v>21.75</v>
      </c>
      <c r="AJ80">
        <f t="shared" si="94"/>
        <v>0</v>
      </c>
      <c r="AK80">
        <f t="shared" si="82"/>
        <v>22.359000000000002</v>
      </c>
      <c r="AL80">
        <f t="shared" si="83"/>
        <v>0</v>
      </c>
      <c r="AM80">
        <f>IFERROR(MIN(AL80,VLOOKUP(CONCATENATE(C80,"-to lingot"),negchutes,D80-2007,FALSE)),0)</f>
        <v>0</v>
      </c>
      <c r="AN80">
        <f t="shared" si="95"/>
        <v>0</v>
      </c>
      <c r="AO80" t="str">
        <f t="shared" si="96"/>
        <v>SO</v>
      </c>
      <c r="AP80">
        <f>IF(AR80=0,0,IFERROR(VLOOKUP(CONCATENATE($C80,"-to massif"),negchutes,$D80-2007,FALSE),0)*AM80/AR80)</f>
        <v>0</v>
      </c>
      <c r="AQ80">
        <f>IF(AR80=0,0,IFERROR(VLOOKUP(CONCATENATE($C80,"-to copeaux"),negchutes,$D80-2007,FALSE),0)*AM80/AR80)</f>
        <v>0</v>
      </c>
      <c r="AR80">
        <f>IFERROR(VLOOKUP(CONCATENATE($C80,"-to lingot"),negchutes,$D80-2007,FALSE),0)</f>
        <v>0</v>
      </c>
      <c r="AS80">
        <f>IF(AR80=0,0,AP80*VLOOKUP(CONCATENATE($C80,"-ac massif"),negchutes,$D80-2007,FALSE))</f>
        <v>0</v>
      </c>
      <c r="AT80">
        <f>IF(AR80=0,0,AQ80*VLOOKUP(CONCATENATE($C80,"-ac copeaux"),negchutes,$D80-2007,FALSE))</f>
        <v>0</v>
      </c>
      <c r="AU80">
        <f t="shared" si="84"/>
        <v>0</v>
      </c>
      <c r="AV80">
        <f>IFERROR(VLOOKUP(CONCATENATE(C80,"-px lingot"),negchutes,D80-2007,FALSE),0)*AM80</f>
        <v>0</v>
      </c>
      <c r="AW80">
        <f>AN80*VLOOKUP("Marché 1",pxlingot,D80-2010,FALSE)</f>
        <v>0</v>
      </c>
      <c r="AX80">
        <f t="shared" si="97"/>
        <v>0</v>
      </c>
      <c r="AY80" t="str">
        <f t="shared" si="85"/>
        <v>VAR</v>
      </c>
      <c r="AZ80">
        <f t="shared" si="86"/>
        <v>10.794</v>
      </c>
      <c r="BA80">
        <f>MAX(VLOOKUP(VLOOKUP(C80,descmarche,28,FALSE),pxlingot,D80-2010,FALSE),AX80)</f>
        <v>0</v>
      </c>
      <c r="BB80">
        <f t="shared" si="98"/>
        <v>0</v>
      </c>
      <c r="BC80" t="str">
        <f t="shared" si="87"/>
        <v>SO</v>
      </c>
    </row>
    <row r="81" spans="1:55" x14ac:dyDescent="0.25">
      <c r="A81" t="s">
        <v>16</v>
      </c>
      <c r="B81" s="4" t="s">
        <v>48</v>
      </c>
      <c r="C81" t="str">
        <f t="shared" si="99"/>
        <v>UKTMP-07</v>
      </c>
      <c r="D81">
        <v>2012</v>
      </c>
      <c r="E81">
        <v>10</v>
      </c>
      <c r="F81" t="str">
        <f t="shared" si="65"/>
        <v>Médical</v>
      </c>
      <c r="G81" t="str">
        <f t="shared" si="66"/>
        <v xml:space="preserve">Stainless source UKTMP </v>
      </c>
      <c r="H81" t="str">
        <f t="shared" si="40"/>
        <v>Aval UKAD</v>
      </c>
      <c r="I81">
        <f t="shared" si="67"/>
        <v>23</v>
      </c>
      <c r="J81">
        <f t="shared" si="68"/>
        <v>1411</v>
      </c>
      <c r="K81">
        <f t="shared" si="69"/>
        <v>10</v>
      </c>
      <c r="L81">
        <f t="shared" si="70"/>
        <v>14.11</v>
      </c>
      <c r="M81">
        <f t="shared" si="71"/>
        <v>0.52500000000000002</v>
      </c>
      <c r="N81">
        <f t="shared" si="72"/>
        <v>0</v>
      </c>
      <c r="O81" t="str">
        <f t="shared" si="73"/>
        <v>Marché 1</v>
      </c>
      <c r="P81">
        <f>VLOOKUP(O81,pxmassif,D81-2010,FALSE)*M81</f>
        <v>6.5625</v>
      </c>
      <c r="Q81">
        <f>VLOOKUP(O81,pxcopeau,D81-2010,FALSE)*N81</f>
        <v>0</v>
      </c>
      <c r="R81" t="str">
        <f t="shared" si="74"/>
        <v>BA pour UKAD</v>
      </c>
      <c r="S81">
        <f t="shared" si="75"/>
        <v>0.5625</v>
      </c>
      <c r="T81">
        <f t="shared" si="76"/>
        <v>0</v>
      </c>
      <c r="U81" t="str">
        <f t="shared" si="77"/>
        <v>Marché 1</v>
      </c>
      <c r="V81">
        <f>VLOOKUP(U81,pxmassif,$D81-2010,FALSE)*S81</f>
        <v>7.03125</v>
      </c>
      <c r="W81">
        <f>VLOOKUP(U81,pxcopeau,$D81-2010,FALSE)*T81</f>
        <v>0</v>
      </c>
      <c r="X81" t="str">
        <f t="shared" si="78"/>
        <v>SO</v>
      </c>
      <c r="Y81">
        <f t="shared" si="79"/>
        <v>0</v>
      </c>
      <c r="Z81">
        <f t="shared" si="80"/>
        <v>0</v>
      </c>
      <c r="AA81" t="str">
        <f t="shared" si="81"/>
        <v>Marché 1</v>
      </c>
      <c r="AB81">
        <f>VLOOKUP(AA81,pxmassif,$D81-2010,FALSE)*Y81</f>
        <v>0</v>
      </c>
      <c r="AC81">
        <f>VLOOKUP(AA81,pxcopeau,$D81-2010,FALSE)*Z81</f>
        <v>0</v>
      </c>
      <c r="AD81">
        <f t="shared" si="88"/>
        <v>1.0874999999999999</v>
      </c>
      <c r="AE81">
        <f t="shared" si="89"/>
        <v>0</v>
      </c>
      <c r="AF81">
        <f t="shared" si="90"/>
        <v>0.52500000000000002</v>
      </c>
      <c r="AG81">
        <f t="shared" si="91"/>
        <v>0.5625</v>
      </c>
      <c r="AH81">
        <f t="shared" si="92"/>
        <v>0</v>
      </c>
      <c r="AI81">
        <f t="shared" si="93"/>
        <v>1.0874999999999999</v>
      </c>
      <c r="AJ81">
        <f t="shared" si="94"/>
        <v>0</v>
      </c>
      <c r="AK81">
        <f t="shared" si="82"/>
        <v>1.11795</v>
      </c>
      <c r="AL81">
        <f t="shared" si="83"/>
        <v>0</v>
      </c>
      <c r="AM81">
        <f>IFERROR(MIN(AL81,VLOOKUP(CONCATENATE(C81,"-to lingot"),negchutes,D81-2007,FALSE)),0)</f>
        <v>0</v>
      </c>
      <c r="AN81">
        <f t="shared" si="95"/>
        <v>0</v>
      </c>
      <c r="AO81" t="str">
        <f t="shared" si="96"/>
        <v>SO</v>
      </c>
      <c r="AP81">
        <f>IF(AR81=0,0,IFERROR(VLOOKUP(CONCATENATE($C81,"-to massif"),negchutes,$D81-2007,FALSE),0)*AM81/AR81)</f>
        <v>0</v>
      </c>
      <c r="AQ81">
        <f>IF(AR81=0,0,IFERROR(VLOOKUP(CONCATENATE($C81,"-to copeaux"),negchutes,$D81-2007,FALSE),0)*AM81/AR81)</f>
        <v>0</v>
      </c>
      <c r="AR81">
        <f>IFERROR(VLOOKUP(CONCATENATE($C81,"-to lingot"),negchutes,$D81-2007,FALSE),0)</f>
        <v>0</v>
      </c>
      <c r="AS81">
        <f>IF(AR81=0,0,AP81*VLOOKUP(CONCATENATE($C81,"-ac massif"),negchutes,$D81-2007,FALSE))</f>
        <v>0</v>
      </c>
      <c r="AT81">
        <f>IF(AR81=0,0,AQ81*VLOOKUP(CONCATENATE($C81,"-ac copeaux"),negchutes,$D81-2007,FALSE))</f>
        <v>0</v>
      </c>
      <c r="AU81">
        <f t="shared" si="84"/>
        <v>0</v>
      </c>
      <c r="AV81">
        <f>IFERROR(VLOOKUP(CONCATENATE(C81,"-px lingot"),negchutes,D81-2007,FALSE),0)*AM81</f>
        <v>0</v>
      </c>
      <c r="AW81">
        <f>AN81*VLOOKUP("Marché 1",pxlingot,D81-2010,FALSE)</f>
        <v>0</v>
      </c>
      <c r="AX81">
        <f t="shared" si="97"/>
        <v>0</v>
      </c>
      <c r="AY81" t="str">
        <f t="shared" si="85"/>
        <v>VAR</v>
      </c>
      <c r="AZ81">
        <f t="shared" si="86"/>
        <v>0.53970000000000007</v>
      </c>
      <c r="BA81">
        <f>MAX(VLOOKUP(VLOOKUP(C81,descmarche,28,FALSE),pxlingot,D81-2010,FALSE),AX81)</f>
        <v>0</v>
      </c>
      <c r="BB81">
        <f t="shared" si="98"/>
        <v>0</v>
      </c>
      <c r="BC81" t="str">
        <f t="shared" si="87"/>
        <v>SO</v>
      </c>
    </row>
    <row r="82" spans="1:55" x14ac:dyDescent="0.25">
      <c r="A82" t="s">
        <v>16</v>
      </c>
      <c r="B82" s="4" t="s">
        <v>48</v>
      </c>
      <c r="C82" t="str">
        <f t="shared" si="99"/>
        <v>UKTMP-07</v>
      </c>
      <c r="D82">
        <v>2013</v>
      </c>
      <c r="E82">
        <v>20</v>
      </c>
      <c r="F82" t="str">
        <f t="shared" si="65"/>
        <v>Médical</v>
      </c>
      <c r="G82" t="str">
        <f t="shared" si="66"/>
        <v xml:space="preserve">Stainless source UKTMP </v>
      </c>
      <c r="H82" t="str">
        <f t="shared" si="40"/>
        <v>Aval UKAD</v>
      </c>
      <c r="I82">
        <f t="shared" si="67"/>
        <v>23</v>
      </c>
      <c r="J82">
        <f t="shared" si="68"/>
        <v>1411</v>
      </c>
      <c r="K82">
        <f t="shared" si="69"/>
        <v>20</v>
      </c>
      <c r="L82">
        <f t="shared" si="70"/>
        <v>28.22</v>
      </c>
      <c r="M82">
        <f t="shared" si="71"/>
        <v>1.05</v>
      </c>
      <c r="N82">
        <f t="shared" si="72"/>
        <v>0</v>
      </c>
      <c r="O82" t="str">
        <f t="shared" si="73"/>
        <v>Marché 1</v>
      </c>
      <c r="P82">
        <f>VLOOKUP(O82,pxmassif,D82-2010,FALSE)*M82</f>
        <v>13.125</v>
      </c>
      <c r="Q82">
        <f>VLOOKUP(O82,pxcopeau,D82-2010,FALSE)*N82</f>
        <v>0</v>
      </c>
      <c r="R82" t="str">
        <f t="shared" si="74"/>
        <v>BA pour UKAD</v>
      </c>
      <c r="S82">
        <f t="shared" si="75"/>
        <v>1.125</v>
      </c>
      <c r="T82">
        <f t="shared" si="76"/>
        <v>0</v>
      </c>
      <c r="U82" t="str">
        <f t="shared" si="77"/>
        <v>Marché 1</v>
      </c>
      <c r="V82">
        <f>VLOOKUP(U82,pxmassif,$D82-2010,FALSE)*S82</f>
        <v>14.0625</v>
      </c>
      <c r="W82">
        <f>VLOOKUP(U82,pxcopeau,$D82-2010,FALSE)*T82</f>
        <v>0</v>
      </c>
      <c r="X82" t="str">
        <f t="shared" si="78"/>
        <v>SO</v>
      </c>
      <c r="Y82">
        <f t="shared" si="79"/>
        <v>0</v>
      </c>
      <c r="Z82">
        <f t="shared" si="80"/>
        <v>0</v>
      </c>
      <c r="AA82" t="str">
        <f t="shared" si="81"/>
        <v>Marché 1</v>
      </c>
      <c r="AB82">
        <f>VLOOKUP(AA82,pxmassif,$D82-2010,FALSE)*Y82</f>
        <v>0</v>
      </c>
      <c r="AC82">
        <f>VLOOKUP(AA82,pxcopeau,$D82-2010,FALSE)*Z82</f>
        <v>0</v>
      </c>
      <c r="AD82">
        <f t="shared" si="88"/>
        <v>2.1749999999999998</v>
      </c>
      <c r="AE82">
        <f t="shared" si="89"/>
        <v>0</v>
      </c>
      <c r="AF82">
        <f t="shared" si="90"/>
        <v>1.05</v>
      </c>
      <c r="AG82">
        <f t="shared" si="91"/>
        <v>1.125</v>
      </c>
      <c r="AH82">
        <f t="shared" si="92"/>
        <v>0</v>
      </c>
      <c r="AI82">
        <f t="shared" si="93"/>
        <v>2.1749999999999998</v>
      </c>
      <c r="AJ82">
        <f t="shared" si="94"/>
        <v>0</v>
      </c>
      <c r="AK82">
        <f t="shared" si="82"/>
        <v>2.2359</v>
      </c>
      <c r="AL82">
        <f t="shared" si="83"/>
        <v>0</v>
      </c>
      <c r="AM82">
        <f>IFERROR(MIN(AL82,VLOOKUP(CONCATENATE(C82,"-to lingot"),negchutes,D82-2007,FALSE)),0)</f>
        <v>0</v>
      </c>
      <c r="AN82">
        <f t="shared" si="95"/>
        <v>0</v>
      </c>
      <c r="AO82" t="str">
        <f t="shared" si="96"/>
        <v>SO</v>
      </c>
      <c r="AP82">
        <f>IF(AR82=0,0,IFERROR(VLOOKUP(CONCATENATE($C82,"-to massif"),negchutes,$D82-2007,FALSE),0)*AM82/AR82)</f>
        <v>0</v>
      </c>
      <c r="AQ82">
        <f>IF(AR82=0,0,IFERROR(VLOOKUP(CONCATENATE($C82,"-to copeaux"),negchutes,$D82-2007,FALSE),0)*AM82/AR82)</f>
        <v>0</v>
      </c>
      <c r="AR82">
        <f>IFERROR(VLOOKUP(CONCATENATE($C82,"-to lingot"),negchutes,$D82-2007,FALSE),0)</f>
        <v>0</v>
      </c>
      <c r="AS82">
        <f>IF(AR82=0,0,AP82*VLOOKUP(CONCATENATE($C82,"-ac massif"),negchutes,$D82-2007,FALSE))</f>
        <v>0</v>
      </c>
      <c r="AT82">
        <f>IF(AR82=0,0,AQ82*VLOOKUP(CONCATENATE($C82,"-ac copeaux"),negchutes,$D82-2007,FALSE))</f>
        <v>0</v>
      </c>
      <c r="AU82">
        <f t="shared" si="84"/>
        <v>0</v>
      </c>
      <c r="AV82">
        <f>IFERROR(VLOOKUP(CONCATENATE(C82,"-px lingot"),negchutes,D82-2007,FALSE),0)*AM82</f>
        <v>0</v>
      </c>
      <c r="AW82">
        <f>AN82*VLOOKUP("Marché 1",pxlingot,D82-2010,FALSE)</f>
        <v>0</v>
      </c>
      <c r="AX82">
        <f t="shared" si="97"/>
        <v>0</v>
      </c>
      <c r="AY82" t="str">
        <f t="shared" si="85"/>
        <v>VAR</v>
      </c>
      <c r="AZ82">
        <f t="shared" si="86"/>
        <v>1.0794000000000001</v>
      </c>
      <c r="BA82">
        <f>MAX(VLOOKUP(VLOOKUP(C82,descmarche,28,FALSE),pxlingot,D82-2010,FALSE),AX82)</f>
        <v>0</v>
      </c>
      <c r="BB82">
        <f t="shared" si="98"/>
        <v>0</v>
      </c>
      <c r="BC82" t="str">
        <f t="shared" si="87"/>
        <v>SO</v>
      </c>
    </row>
    <row r="83" spans="1:55" x14ac:dyDescent="0.25">
      <c r="A83" t="s">
        <v>16</v>
      </c>
      <c r="B83" s="4" t="s">
        <v>48</v>
      </c>
      <c r="C83" t="str">
        <f t="shared" ref="C83:C95" si="100">CONCATENATE(A83,"-",B83)</f>
        <v>UKTMP-07</v>
      </c>
      <c r="D83">
        <v>2014</v>
      </c>
      <c r="E83">
        <v>50</v>
      </c>
      <c r="F83" t="str">
        <f t="shared" si="65"/>
        <v>Médical</v>
      </c>
      <c r="G83" t="str">
        <f t="shared" si="66"/>
        <v xml:space="preserve">Stainless source UKTMP </v>
      </c>
      <c r="H83" t="str">
        <f t="shared" si="40"/>
        <v>Aval UKAD</v>
      </c>
      <c r="I83">
        <f t="shared" si="67"/>
        <v>23</v>
      </c>
      <c r="J83">
        <f t="shared" si="68"/>
        <v>1411</v>
      </c>
      <c r="K83">
        <f t="shared" si="69"/>
        <v>50</v>
      </c>
      <c r="L83">
        <f t="shared" si="70"/>
        <v>70.55</v>
      </c>
      <c r="M83">
        <f t="shared" si="71"/>
        <v>2.625</v>
      </c>
      <c r="N83">
        <f t="shared" si="72"/>
        <v>0</v>
      </c>
      <c r="O83" t="str">
        <f t="shared" si="73"/>
        <v>Marché 1</v>
      </c>
      <c r="P83">
        <f>VLOOKUP(O83,pxmassif,D83-2010,FALSE)*M83</f>
        <v>32.8125</v>
      </c>
      <c r="Q83">
        <f>VLOOKUP(O83,pxcopeau,D83-2010,FALSE)*N83</f>
        <v>0</v>
      </c>
      <c r="R83" t="str">
        <f t="shared" si="74"/>
        <v>BA pour UKAD</v>
      </c>
      <c r="S83">
        <f t="shared" si="75"/>
        <v>2.8125</v>
      </c>
      <c r="T83">
        <f t="shared" si="76"/>
        <v>0</v>
      </c>
      <c r="U83" t="str">
        <f t="shared" si="77"/>
        <v>Marché 1</v>
      </c>
      <c r="V83">
        <f>VLOOKUP(U83,pxmassif,$D83-2010,FALSE)*S83</f>
        <v>35.15625</v>
      </c>
      <c r="W83">
        <f>VLOOKUP(U83,pxcopeau,$D83-2010,FALSE)*T83</f>
        <v>0</v>
      </c>
      <c r="X83" t="str">
        <f t="shared" si="78"/>
        <v>SO</v>
      </c>
      <c r="Y83">
        <f t="shared" si="79"/>
        <v>0</v>
      </c>
      <c r="Z83">
        <f t="shared" si="80"/>
        <v>0</v>
      </c>
      <c r="AA83" t="str">
        <f t="shared" si="81"/>
        <v>Marché 1</v>
      </c>
      <c r="AB83">
        <f>VLOOKUP(AA83,pxmassif,$D83-2010,FALSE)*Y83</f>
        <v>0</v>
      </c>
      <c r="AC83">
        <f>VLOOKUP(AA83,pxcopeau,$D83-2010,FALSE)*Z83</f>
        <v>0</v>
      </c>
      <c r="AD83">
        <f t="shared" si="88"/>
        <v>5.4375</v>
      </c>
      <c r="AE83">
        <f t="shared" si="89"/>
        <v>0</v>
      </c>
      <c r="AF83">
        <f t="shared" si="90"/>
        <v>2.625</v>
      </c>
      <c r="AG83">
        <f t="shared" si="91"/>
        <v>2.8125</v>
      </c>
      <c r="AH83">
        <f t="shared" si="92"/>
        <v>0</v>
      </c>
      <c r="AI83">
        <f t="shared" si="93"/>
        <v>5.4375</v>
      </c>
      <c r="AJ83">
        <f t="shared" si="94"/>
        <v>0</v>
      </c>
      <c r="AK83">
        <f t="shared" si="82"/>
        <v>5.5897500000000004</v>
      </c>
      <c r="AL83">
        <f t="shared" si="83"/>
        <v>0</v>
      </c>
      <c r="AM83">
        <f>IFERROR(MIN(AL83,VLOOKUP(CONCATENATE(C83,"-to lingot"),negchutes,D83-2007,FALSE)),0)</f>
        <v>0</v>
      </c>
      <c r="AN83">
        <f t="shared" si="95"/>
        <v>0</v>
      </c>
      <c r="AO83" t="str">
        <f t="shared" si="96"/>
        <v>SO</v>
      </c>
      <c r="AP83">
        <f>IF(AR83=0,0,IFERROR(VLOOKUP(CONCATENATE($C83,"-to massif"),negchutes,$D83-2007,FALSE),0)*AM83/AR83)</f>
        <v>0</v>
      </c>
      <c r="AQ83">
        <f>IF(AR83=0,0,IFERROR(VLOOKUP(CONCATENATE($C83,"-to copeaux"),negchutes,$D83-2007,FALSE),0)*AM83/AR83)</f>
        <v>0</v>
      </c>
      <c r="AR83">
        <f>IFERROR(VLOOKUP(CONCATENATE($C83,"-to lingot"),negchutes,$D83-2007,FALSE),0)</f>
        <v>0</v>
      </c>
      <c r="AS83">
        <f>IF(AR83=0,0,AP83*VLOOKUP(CONCATENATE($C83,"-ac massif"),negchutes,$D83-2007,FALSE))</f>
        <v>0</v>
      </c>
      <c r="AT83">
        <f>IF(AR83=0,0,AQ83*VLOOKUP(CONCATENATE($C83,"-ac copeaux"),negchutes,$D83-2007,FALSE))</f>
        <v>0</v>
      </c>
      <c r="AU83">
        <f t="shared" si="84"/>
        <v>0</v>
      </c>
      <c r="AV83">
        <f>IFERROR(VLOOKUP(CONCATENATE(C83,"-px lingot"),negchutes,D83-2007,FALSE),0)*AM83</f>
        <v>0</v>
      </c>
      <c r="AW83">
        <f>AN83*VLOOKUP("Marché 1",pxlingot,D83-2010,FALSE)</f>
        <v>0</v>
      </c>
      <c r="AX83">
        <f t="shared" si="97"/>
        <v>0</v>
      </c>
      <c r="AY83" t="str">
        <f t="shared" si="85"/>
        <v>VAR</v>
      </c>
      <c r="AZ83">
        <f t="shared" si="86"/>
        <v>2.6985000000000001</v>
      </c>
      <c r="BA83">
        <f>MAX(VLOOKUP(VLOOKUP(C83,descmarche,28,FALSE),pxlingot,D83-2010,FALSE),AX83)</f>
        <v>0</v>
      </c>
      <c r="BB83">
        <f t="shared" si="98"/>
        <v>0</v>
      </c>
      <c r="BC83" t="str">
        <f t="shared" si="87"/>
        <v>SO</v>
      </c>
    </row>
    <row r="84" spans="1:55" x14ac:dyDescent="0.25">
      <c r="A84" t="s">
        <v>16</v>
      </c>
      <c r="B84" s="4" t="s">
        <v>48</v>
      </c>
      <c r="C84" t="str">
        <f t="shared" si="100"/>
        <v>UKTMP-07</v>
      </c>
      <c r="D84">
        <v>2015</v>
      </c>
      <c r="E84">
        <v>50</v>
      </c>
      <c r="F84" t="str">
        <f t="shared" si="65"/>
        <v>Médical</v>
      </c>
      <c r="G84" t="str">
        <f t="shared" si="66"/>
        <v xml:space="preserve">Stainless source UKTMP </v>
      </c>
      <c r="H84" t="str">
        <f t="shared" si="40"/>
        <v>Aval UKAD</v>
      </c>
      <c r="I84">
        <f t="shared" si="67"/>
        <v>23</v>
      </c>
      <c r="J84">
        <f t="shared" si="68"/>
        <v>1411</v>
      </c>
      <c r="K84">
        <f t="shared" si="69"/>
        <v>50</v>
      </c>
      <c r="L84">
        <f t="shared" si="70"/>
        <v>70.55</v>
      </c>
      <c r="M84">
        <f t="shared" si="71"/>
        <v>2.625</v>
      </c>
      <c r="N84">
        <f t="shared" si="72"/>
        <v>0</v>
      </c>
      <c r="O84" t="str">
        <f t="shared" si="73"/>
        <v>Marché 1</v>
      </c>
      <c r="P84">
        <f>VLOOKUP(O84,pxmassif,D84-2010,FALSE)*M84</f>
        <v>32.8125</v>
      </c>
      <c r="Q84">
        <f>VLOOKUP(O84,pxcopeau,D84-2010,FALSE)*N84</f>
        <v>0</v>
      </c>
      <c r="R84" t="str">
        <f t="shared" si="74"/>
        <v>BA pour UKAD</v>
      </c>
      <c r="S84">
        <f t="shared" si="75"/>
        <v>2.8125</v>
      </c>
      <c r="T84">
        <f t="shared" si="76"/>
        <v>0</v>
      </c>
      <c r="U84" t="str">
        <f t="shared" si="77"/>
        <v>Marché 1</v>
      </c>
      <c r="V84">
        <f>VLOOKUP(U84,pxmassif,$D84-2010,FALSE)*S84</f>
        <v>35.15625</v>
      </c>
      <c r="W84">
        <f>VLOOKUP(U84,pxcopeau,$D84-2010,FALSE)*T84</f>
        <v>0</v>
      </c>
      <c r="X84" t="str">
        <f t="shared" si="78"/>
        <v>SO</v>
      </c>
      <c r="Y84">
        <f t="shared" si="79"/>
        <v>0</v>
      </c>
      <c r="Z84">
        <f t="shared" si="80"/>
        <v>0</v>
      </c>
      <c r="AA84" t="str">
        <f t="shared" si="81"/>
        <v>Marché 1</v>
      </c>
      <c r="AB84">
        <f>VLOOKUP(AA84,pxmassif,$D84-2010,FALSE)*Y84</f>
        <v>0</v>
      </c>
      <c r="AC84">
        <f>VLOOKUP(AA84,pxcopeau,$D84-2010,FALSE)*Z84</f>
        <v>0</v>
      </c>
      <c r="AD84">
        <f t="shared" si="88"/>
        <v>5.4375</v>
      </c>
      <c r="AE84">
        <f t="shared" si="89"/>
        <v>0</v>
      </c>
      <c r="AF84">
        <f t="shared" si="90"/>
        <v>2.625</v>
      </c>
      <c r="AG84">
        <f t="shared" si="91"/>
        <v>2.8125</v>
      </c>
      <c r="AH84">
        <f t="shared" si="92"/>
        <v>0</v>
      </c>
      <c r="AI84">
        <f t="shared" si="93"/>
        <v>5.4375</v>
      </c>
      <c r="AJ84">
        <f t="shared" si="94"/>
        <v>0</v>
      </c>
      <c r="AK84">
        <f t="shared" si="82"/>
        <v>5.5897500000000004</v>
      </c>
      <c r="AL84">
        <f t="shared" si="83"/>
        <v>0</v>
      </c>
      <c r="AM84">
        <f>IFERROR(MIN(AL84,VLOOKUP(CONCATENATE(C84,"-to lingot"),negchutes,D84-2007,FALSE)),0)</f>
        <v>0</v>
      </c>
      <c r="AN84">
        <f t="shared" si="95"/>
        <v>0</v>
      </c>
      <c r="AO84" t="str">
        <f t="shared" si="96"/>
        <v>SO</v>
      </c>
      <c r="AP84">
        <f>IF(AR84=0,0,IFERROR(VLOOKUP(CONCATENATE($C84,"-to massif"),negchutes,$D84-2007,FALSE),0)*AM84/AR84)</f>
        <v>0</v>
      </c>
      <c r="AQ84">
        <f>IF(AR84=0,0,IFERROR(VLOOKUP(CONCATENATE($C84,"-to copeaux"),negchutes,$D84-2007,FALSE),0)*AM84/AR84)</f>
        <v>0</v>
      </c>
      <c r="AR84">
        <f>IFERROR(VLOOKUP(CONCATENATE($C84,"-to lingot"),negchutes,$D84-2007,FALSE),0)</f>
        <v>0</v>
      </c>
      <c r="AS84">
        <f>IF(AR84=0,0,AP84*VLOOKUP(CONCATENATE($C84,"-ac massif"),negchutes,$D84-2007,FALSE))</f>
        <v>0</v>
      </c>
      <c r="AT84">
        <f>IF(AR84=0,0,AQ84*VLOOKUP(CONCATENATE($C84,"-ac copeaux"),negchutes,$D84-2007,FALSE))</f>
        <v>0</v>
      </c>
      <c r="AU84">
        <f t="shared" si="84"/>
        <v>0</v>
      </c>
      <c r="AV84">
        <f>IFERROR(VLOOKUP(CONCATENATE(C84,"-px lingot"),negchutes,D84-2007,FALSE),0)*AM84</f>
        <v>0</v>
      </c>
      <c r="AW84">
        <f>AN84*VLOOKUP("Marché 1",pxlingot,D84-2010,FALSE)</f>
        <v>0</v>
      </c>
      <c r="AX84">
        <f t="shared" si="97"/>
        <v>0</v>
      </c>
      <c r="AY84" t="str">
        <f t="shared" si="85"/>
        <v>VAR</v>
      </c>
      <c r="AZ84">
        <f t="shared" si="86"/>
        <v>2.6985000000000001</v>
      </c>
      <c r="BA84">
        <f>MAX(VLOOKUP(VLOOKUP(C84,descmarche,28,FALSE),pxlingot,D84-2010,FALSE),AX84)</f>
        <v>0</v>
      </c>
      <c r="BB84">
        <f t="shared" si="98"/>
        <v>0</v>
      </c>
      <c r="BC84" t="str">
        <f t="shared" si="87"/>
        <v>SO</v>
      </c>
    </row>
    <row r="85" spans="1:55" x14ac:dyDescent="0.25">
      <c r="A85" t="s">
        <v>16</v>
      </c>
      <c r="B85" s="4" t="s">
        <v>48</v>
      </c>
      <c r="C85" t="str">
        <f t="shared" si="100"/>
        <v>UKTMP-07</v>
      </c>
      <c r="D85">
        <v>2016</v>
      </c>
      <c r="E85">
        <v>70</v>
      </c>
      <c r="F85" t="str">
        <f t="shared" si="65"/>
        <v>Médical</v>
      </c>
      <c r="G85" t="str">
        <f t="shared" si="66"/>
        <v xml:space="preserve">Stainless source UKTMP </v>
      </c>
      <c r="H85" t="str">
        <f t="shared" si="40"/>
        <v>Aval UKAD</v>
      </c>
      <c r="I85">
        <f t="shared" si="67"/>
        <v>23</v>
      </c>
      <c r="J85">
        <f t="shared" si="68"/>
        <v>1411</v>
      </c>
      <c r="K85">
        <f t="shared" si="69"/>
        <v>70</v>
      </c>
      <c r="L85">
        <f t="shared" si="70"/>
        <v>98.77</v>
      </c>
      <c r="M85">
        <f t="shared" si="71"/>
        <v>3.6749999999999998</v>
      </c>
      <c r="N85">
        <f t="shared" si="72"/>
        <v>0</v>
      </c>
      <c r="O85" t="str">
        <f t="shared" si="73"/>
        <v>Marché 1</v>
      </c>
      <c r="P85">
        <f>VLOOKUP(O85,pxmassif,D85-2010,FALSE)*M85</f>
        <v>45.9375</v>
      </c>
      <c r="Q85">
        <f>VLOOKUP(O85,pxcopeau,D85-2010,FALSE)*N85</f>
        <v>0</v>
      </c>
      <c r="R85" t="str">
        <f t="shared" si="74"/>
        <v>BA pour UKAD</v>
      </c>
      <c r="S85">
        <f t="shared" si="75"/>
        <v>3.9375</v>
      </c>
      <c r="T85">
        <f t="shared" si="76"/>
        <v>0</v>
      </c>
      <c r="U85" t="str">
        <f t="shared" si="77"/>
        <v>Marché 1</v>
      </c>
      <c r="V85">
        <f>VLOOKUP(U85,pxmassif,$D85-2010,FALSE)*S85</f>
        <v>49.21875</v>
      </c>
      <c r="W85">
        <f>VLOOKUP(U85,pxcopeau,$D85-2010,FALSE)*T85</f>
        <v>0</v>
      </c>
      <c r="X85" t="str">
        <f t="shared" si="78"/>
        <v>SO</v>
      </c>
      <c r="Y85">
        <f t="shared" si="79"/>
        <v>0</v>
      </c>
      <c r="Z85">
        <f t="shared" si="80"/>
        <v>0</v>
      </c>
      <c r="AA85" t="str">
        <f t="shared" si="81"/>
        <v>Marché 1</v>
      </c>
      <c r="AB85">
        <f>VLOOKUP(AA85,pxmassif,$D85-2010,FALSE)*Y85</f>
        <v>0</v>
      </c>
      <c r="AC85">
        <f>VLOOKUP(AA85,pxcopeau,$D85-2010,FALSE)*Z85</f>
        <v>0</v>
      </c>
      <c r="AD85">
        <f t="shared" si="88"/>
        <v>7.6124999999999998</v>
      </c>
      <c r="AE85">
        <f t="shared" si="89"/>
        <v>0</v>
      </c>
      <c r="AF85">
        <f t="shared" si="90"/>
        <v>3.6749999999999998</v>
      </c>
      <c r="AG85">
        <f t="shared" si="91"/>
        <v>3.9375</v>
      </c>
      <c r="AH85">
        <f t="shared" si="92"/>
        <v>0</v>
      </c>
      <c r="AI85">
        <f t="shared" si="93"/>
        <v>7.6124999999999998</v>
      </c>
      <c r="AJ85">
        <f t="shared" si="94"/>
        <v>0</v>
      </c>
      <c r="AK85">
        <f t="shared" si="82"/>
        <v>7.8256500000000004</v>
      </c>
      <c r="AL85">
        <f t="shared" si="83"/>
        <v>0</v>
      </c>
      <c r="AM85">
        <f>IFERROR(MIN(AL85,VLOOKUP(CONCATENATE(C85,"-to lingot"),negchutes,D85-2007,FALSE)),0)</f>
        <v>0</v>
      </c>
      <c r="AN85">
        <f t="shared" si="95"/>
        <v>0</v>
      </c>
      <c r="AO85" t="str">
        <f t="shared" si="96"/>
        <v>SO</v>
      </c>
      <c r="AP85">
        <f>IF(AR85=0,0,IFERROR(VLOOKUP(CONCATENATE($C85,"-to massif"),negchutes,$D85-2007,FALSE),0)*AM85/AR85)</f>
        <v>0</v>
      </c>
      <c r="AQ85">
        <f>IF(AR85=0,0,IFERROR(VLOOKUP(CONCATENATE($C85,"-to copeaux"),negchutes,$D85-2007,FALSE),0)*AM85/AR85)</f>
        <v>0</v>
      </c>
      <c r="AR85">
        <f>IFERROR(VLOOKUP(CONCATENATE($C85,"-to lingot"),negchutes,$D85-2007,FALSE),0)</f>
        <v>0</v>
      </c>
      <c r="AS85">
        <f>IF(AR85=0,0,AP85*VLOOKUP(CONCATENATE($C85,"-ac massif"),negchutes,$D85-2007,FALSE))</f>
        <v>0</v>
      </c>
      <c r="AT85">
        <f>IF(AR85=0,0,AQ85*VLOOKUP(CONCATENATE($C85,"-ac copeaux"),negchutes,$D85-2007,FALSE))</f>
        <v>0</v>
      </c>
      <c r="AU85">
        <f t="shared" si="84"/>
        <v>0</v>
      </c>
      <c r="AV85">
        <f>IFERROR(VLOOKUP(CONCATENATE(C85,"-px lingot"),negchutes,D85-2007,FALSE),0)*AM85</f>
        <v>0</v>
      </c>
      <c r="AW85">
        <f>AN85*VLOOKUP("Marché 1",pxlingot,D85-2010,FALSE)</f>
        <v>0</v>
      </c>
      <c r="AX85">
        <f t="shared" si="97"/>
        <v>0</v>
      </c>
      <c r="AY85" t="str">
        <f t="shared" si="85"/>
        <v>VAR</v>
      </c>
      <c r="AZ85">
        <f t="shared" si="86"/>
        <v>3.7778999999999998</v>
      </c>
      <c r="BA85">
        <f>MAX(VLOOKUP(VLOOKUP(C85,descmarche,28,FALSE),pxlingot,D85-2010,FALSE),AX85)</f>
        <v>0</v>
      </c>
      <c r="BB85">
        <f t="shared" si="98"/>
        <v>0</v>
      </c>
      <c r="BC85" t="str">
        <f t="shared" si="87"/>
        <v>SO</v>
      </c>
    </row>
    <row r="86" spans="1:55" x14ac:dyDescent="0.25">
      <c r="A86" t="s">
        <v>16</v>
      </c>
      <c r="B86" s="4" t="s">
        <v>48</v>
      </c>
      <c r="C86" t="str">
        <f t="shared" si="100"/>
        <v>UKTMP-07</v>
      </c>
      <c r="D86">
        <v>2017</v>
      </c>
      <c r="E86">
        <v>100</v>
      </c>
      <c r="F86" t="str">
        <f t="shared" si="65"/>
        <v>Médical</v>
      </c>
      <c r="G86" t="str">
        <f t="shared" si="66"/>
        <v xml:space="preserve">Stainless source UKTMP </v>
      </c>
      <c r="H86" t="str">
        <f t="shared" si="40"/>
        <v>Aval UKAD</v>
      </c>
      <c r="I86">
        <f t="shared" si="67"/>
        <v>23</v>
      </c>
      <c r="J86">
        <f t="shared" si="68"/>
        <v>1411</v>
      </c>
      <c r="K86">
        <f t="shared" si="69"/>
        <v>100</v>
      </c>
      <c r="L86">
        <f t="shared" si="70"/>
        <v>141.1</v>
      </c>
      <c r="M86">
        <f t="shared" si="71"/>
        <v>5.25</v>
      </c>
      <c r="N86">
        <f t="shared" si="72"/>
        <v>0</v>
      </c>
      <c r="O86" t="str">
        <f t="shared" si="73"/>
        <v>Marché 1</v>
      </c>
      <c r="P86">
        <f>VLOOKUP(O86,pxmassif,D86-2010,FALSE)*M86</f>
        <v>65.625</v>
      </c>
      <c r="Q86">
        <f>VLOOKUP(O86,pxcopeau,D86-2010,FALSE)*N86</f>
        <v>0</v>
      </c>
      <c r="R86" t="str">
        <f t="shared" si="74"/>
        <v>BA pour UKAD</v>
      </c>
      <c r="S86">
        <f t="shared" si="75"/>
        <v>5.625</v>
      </c>
      <c r="T86">
        <f t="shared" si="76"/>
        <v>0</v>
      </c>
      <c r="U86" t="str">
        <f t="shared" si="77"/>
        <v>Marché 1</v>
      </c>
      <c r="V86">
        <f>VLOOKUP(U86,pxmassif,$D86-2010,FALSE)*S86</f>
        <v>70.3125</v>
      </c>
      <c r="W86">
        <f>VLOOKUP(U86,pxcopeau,$D86-2010,FALSE)*T86</f>
        <v>0</v>
      </c>
      <c r="X86" t="str">
        <f t="shared" si="78"/>
        <v>SO</v>
      </c>
      <c r="Y86">
        <f t="shared" si="79"/>
        <v>0</v>
      </c>
      <c r="Z86">
        <f t="shared" si="80"/>
        <v>0</v>
      </c>
      <c r="AA86" t="str">
        <f t="shared" si="81"/>
        <v>Marché 1</v>
      </c>
      <c r="AB86">
        <f>VLOOKUP(AA86,pxmassif,$D86-2010,FALSE)*Y86</f>
        <v>0</v>
      </c>
      <c r="AC86">
        <f>VLOOKUP(AA86,pxcopeau,$D86-2010,FALSE)*Z86</f>
        <v>0</v>
      </c>
      <c r="AD86">
        <f t="shared" si="88"/>
        <v>10.875</v>
      </c>
      <c r="AE86">
        <f t="shared" si="89"/>
        <v>0</v>
      </c>
      <c r="AF86">
        <f t="shared" si="90"/>
        <v>5.25</v>
      </c>
      <c r="AG86">
        <f t="shared" si="91"/>
        <v>5.625</v>
      </c>
      <c r="AH86">
        <f t="shared" si="92"/>
        <v>0</v>
      </c>
      <c r="AI86">
        <f t="shared" si="93"/>
        <v>10.875</v>
      </c>
      <c r="AJ86">
        <f t="shared" si="94"/>
        <v>0</v>
      </c>
      <c r="AK86">
        <f t="shared" si="82"/>
        <v>11.179500000000001</v>
      </c>
      <c r="AL86">
        <f t="shared" si="83"/>
        <v>0</v>
      </c>
      <c r="AM86">
        <f>IFERROR(MIN(AL86,VLOOKUP(CONCATENATE(C86,"-to lingot"),negchutes,D86-2007,FALSE)),0)</f>
        <v>0</v>
      </c>
      <c r="AN86">
        <f t="shared" si="95"/>
        <v>0</v>
      </c>
      <c r="AO86" t="str">
        <f t="shared" si="96"/>
        <v>SO</v>
      </c>
      <c r="AP86">
        <f>IF(AR86=0,0,IFERROR(VLOOKUP(CONCATENATE($C86,"-to massif"),negchutes,$D86-2007,FALSE),0)*AM86/AR86)</f>
        <v>0</v>
      </c>
      <c r="AQ86">
        <f>IF(AR86=0,0,IFERROR(VLOOKUP(CONCATENATE($C86,"-to copeaux"),negchutes,$D86-2007,FALSE),0)*AM86/AR86)</f>
        <v>0</v>
      </c>
      <c r="AR86">
        <f>IFERROR(VLOOKUP(CONCATENATE($C86,"-to lingot"),negchutes,$D86-2007,FALSE),0)</f>
        <v>0</v>
      </c>
      <c r="AS86">
        <f>IF(AR86=0,0,AP86*VLOOKUP(CONCATENATE($C86,"-ac massif"),negchutes,$D86-2007,FALSE))</f>
        <v>0</v>
      </c>
      <c r="AT86">
        <f>IF(AR86=0,0,AQ86*VLOOKUP(CONCATENATE($C86,"-ac copeaux"),negchutes,$D86-2007,FALSE))</f>
        <v>0</v>
      </c>
      <c r="AU86">
        <f t="shared" si="84"/>
        <v>0</v>
      </c>
      <c r="AV86">
        <f>IFERROR(VLOOKUP(CONCATENATE(C86,"-px lingot"),negchutes,D86-2007,FALSE),0)*AM86</f>
        <v>0</v>
      </c>
      <c r="AW86">
        <f>AN86*VLOOKUP("Marché 1",pxlingot,D86-2010,FALSE)</f>
        <v>0</v>
      </c>
      <c r="AX86">
        <f t="shared" si="97"/>
        <v>0</v>
      </c>
      <c r="AY86" t="str">
        <f t="shared" si="85"/>
        <v>VAR</v>
      </c>
      <c r="AZ86">
        <f t="shared" si="86"/>
        <v>5.3970000000000002</v>
      </c>
      <c r="BA86">
        <f>MAX(VLOOKUP(VLOOKUP(C86,descmarche,28,FALSE),pxlingot,D86-2010,FALSE),AX86)</f>
        <v>0</v>
      </c>
      <c r="BB86">
        <f t="shared" si="98"/>
        <v>0</v>
      </c>
      <c r="BC86" t="str">
        <f t="shared" si="87"/>
        <v>SO</v>
      </c>
    </row>
    <row r="87" spans="1:55" x14ac:dyDescent="0.25">
      <c r="A87" t="s">
        <v>16</v>
      </c>
      <c r="B87" s="4" t="s">
        <v>48</v>
      </c>
      <c r="C87" t="str">
        <f t="shared" si="100"/>
        <v>UKTMP-07</v>
      </c>
      <c r="D87">
        <v>2018</v>
      </c>
      <c r="E87">
        <v>100</v>
      </c>
      <c r="F87" t="str">
        <f t="shared" si="65"/>
        <v>Médical</v>
      </c>
      <c r="G87" t="str">
        <f t="shared" si="66"/>
        <v xml:space="preserve">Stainless source UKTMP </v>
      </c>
      <c r="H87" t="str">
        <f t="shared" si="40"/>
        <v>Aval UKAD</v>
      </c>
      <c r="I87">
        <f t="shared" si="67"/>
        <v>23</v>
      </c>
      <c r="J87">
        <f t="shared" si="68"/>
        <v>1411</v>
      </c>
      <c r="K87">
        <f t="shared" si="69"/>
        <v>100</v>
      </c>
      <c r="L87">
        <f t="shared" si="70"/>
        <v>141.1</v>
      </c>
      <c r="M87">
        <f t="shared" si="71"/>
        <v>5.25</v>
      </c>
      <c r="N87">
        <f t="shared" si="72"/>
        <v>0</v>
      </c>
      <c r="O87" t="str">
        <f t="shared" si="73"/>
        <v>Marché 1</v>
      </c>
      <c r="P87">
        <f>VLOOKUP(O87,pxmassif,D87-2010,FALSE)*M87</f>
        <v>65.625</v>
      </c>
      <c r="Q87">
        <f>VLOOKUP(O87,pxcopeau,D87-2010,FALSE)*N87</f>
        <v>0</v>
      </c>
      <c r="R87" t="str">
        <f t="shared" si="74"/>
        <v>BA pour UKAD</v>
      </c>
      <c r="S87">
        <f t="shared" si="75"/>
        <v>5.625</v>
      </c>
      <c r="T87">
        <f t="shared" si="76"/>
        <v>0</v>
      </c>
      <c r="U87" t="str">
        <f t="shared" si="77"/>
        <v>Marché 1</v>
      </c>
      <c r="V87">
        <f>VLOOKUP(U87,pxmassif,$D87-2010,FALSE)*S87</f>
        <v>70.3125</v>
      </c>
      <c r="W87">
        <f>VLOOKUP(U87,pxcopeau,$D87-2010,FALSE)*T87</f>
        <v>0</v>
      </c>
      <c r="X87" t="str">
        <f t="shared" si="78"/>
        <v>SO</v>
      </c>
      <c r="Y87">
        <f t="shared" si="79"/>
        <v>0</v>
      </c>
      <c r="Z87">
        <f t="shared" si="80"/>
        <v>0</v>
      </c>
      <c r="AA87" t="str">
        <f t="shared" si="81"/>
        <v>Marché 1</v>
      </c>
      <c r="AB87">
        <f>VLOOKUP(AA87,pxmassif,$D87-2010,FALSE)*Y87</f>
        <v>0</v>
      </c>
      <c r="AC87">
        <f>VLOOKUP(AA87,pxcopeau,$D87-2010,FALSE)*Z87</f>
        <v>0</v>
      </c>
      <c r="AD87">
        <f t="shared" si="88"/>
        <v>10.875</v>
      </c>
      <c r="AE87">
        <f t="shared" si="89"/>
        <v>0</v>
      </c>
      <c r="AF87">
        <f t="shared" si="90"/>
        <v>5.25</v>
      </c>
      <c r="AG87">
        <f t="shared" si="91"/>
        <v>5.625</v>
      </c>
      <c r="AH87">
        <f t="shared" si="92"/>
        <v>0</v>
      </c>
      <c r="AI87">
        <f t="shared" si="93"/>
        <v>10.875</v>
      </c>
      <c r="AJ87">
        <f t="shared" si="94"/>
        <v>0</v>
      </c>
      <c r="AK87">
        <f t="shared" si="82"/>
        <v>11.179500000000001</v>
      </c>
      <c r="AL87">
        <f t="shared" si="83"/>
        <v>0</v>
      </c>
      <c r="AM87">
        <f>IFERROR(MIN(AL87,VLOOKUP(CONCATENATE(C87,"-to lingot"),negchutes,D87-2007,FALSE)),0)</f>
        <v>0</v>
      </c>
      <c r="AN87">
        <f t="shared" si="95"/>
        <v>0</v>
      </c>
      <c r="AO87" t="str">
        <f t="shared" si="96"/>
        <v>SO</v>
      </c>
      <c r="AP87">
        <f>IF(AR87=0,0,IFERROR(VLOOKUP(CONCATENATE($C87,"-to massif"),negchutes,$D87-2007,FALSE),0)*AM87/AR87)</f>
        <v>0</v>
      </c>
      <c r="AQ87">
        <f>IF(AR87=0,0,IFERROR(VLOOKUP(CONCATENATE($C87,"-to copeaux"),negchutes,$D87-2007,FALSE),0)*AM87/AR87)</f>
        <v>0</v>
      </c>
      <c r="AR87">
        <f>IFERROR(VLOOKUP(CONCATENATE($C87,"-to lingot"),negchutes,$D87-2007,FALSE),0)</f>
        <v>0</v>
      </c>
      <c r="AS87">
        <f>IF(AR87=0,0,AP87*VLOOKUP(CONCATENATE($C87,"-ac massif"),negchutes,$D87-2007,FALSE))</f>
        <v>0</v>
      </c>
      <c r="AT87">
        <f>IF(AR87=0,0,AQ87*VLOOKUP(CONCATENATE($C87,"-ac copeaux"),negchutes,$D87-2007,FALSE))</f>
        <v>0</v>
      </c>
      <c r="AU87">
        <f t="shared" si="84"/>
        <v>0</v>
      </c>
      <c r="AV87">
        <f>IFERROR(VLOOKUP(CONCATENATE(C87,"-px lingot"),negchutes,D87-2007,FALSE),0)*AM87</f>
        <v>0</v>
      </c>
      <c r="AW87">
        <f>AN87*VLOOKUP("Marché 1",pxlingot,D87-2010,FALSE)</f>
        <v>0</v>
      </c>
      <c r="AX87">
        <f t="shared" si="97"/>
        <v>0</v>
      </c>
      <c r="AY87" t="str">
        <f t="shared" si="85"/>
        <v>VAR</v>
      </c>
      <c r="AZ87">
        <f t="shared" si="86"/>
        <v>5.3970000000000002</v>
      </c>
      <c r="BA87">
        <f>MAX(VLOOKUP(VLOOKUP(C87,descmarche,28,FALSE),pxlingot,D87-2010,FALSE),AX87)</f>
        <v>0</v>
      </c>
      <c r="BB87">
        <f t="shared" si="98"/>
        <v>0</v>
      </c>
      <c r="BC87" t="str">
        <f t="shared" si="87"/>
        <v>SO</v>
      </c>
    </row>
    <row r="88" spans="1:55" x14ac:dyDescent="0.25">
      <c r="A88" t="s">
        <v>16</v>
      </c>
      <c r="B88" s="4" t="s">
        <v>48</v>
      </c>
      <c r="C88" t="str">
        <f t="shared" si="100"/>
        <v>UKTMP-07</v>
      </c>
      <c r="D88">
        <v>2019</v>
      </c>
      <c r="E88">
        <v>120</v>
      </c>
      <c r="F88" t="str">
        <f t="shared" si="65"/>
        <v>Médical</v>
      </c>
      <c r="G88" t="str">
        <f t="shared" si="66"/>
        <v xml:space="preserve">Stainless source UKTMP </v>
      </c>
      <c r="H88" t="str">
        <f t="shared" si="40"/>
        <v>Aval UKAD</v>
      </c>
      <c r="I88">
        <f t="shared" si="67"/>
        <v>23</v>
      </c>
      <c r="J88">
        <f t="shared" si="68"/>
        <v>1411</v>
      </c>
      <c r="K88">
        <f t="shared" si="69"/>
        <v>120</v>
      </c>
      <c r="L88">
        <f t="shared" si="70"/>
        <v>169.32</v>
      </c>
      <c r="M88">
        <f t="shared" si="71"/>
        <v>6.3</v>
      </c>
      <c r="N88">
        <f t="shared" si="72"/>
        <v>0</v>
      </c>
      <c r="O88" t="str">
        <f t="shared" si="73"/>
        <v>Marché 1</v>
      </c>
      <c r="P88">
        <f>VLOOKUP(O88,pxmassif,D88-2010,FALSE)*M88</f>
        <v>78.75</v>
      </c>
      <c r="Q88">
        <f>VLOOKUP(O88,pxcopeau,D88-2010,FALSE)*N88</f>
        <v>0</v>
      </c>
      <c r="R88" t="str">
        <f t="shared" si="74"/>
        <v>BA pour UKAD</v>
      </c>
      <c r="S88">
        <f t="shared" si="75"/>
        <v>6.75</v>
      </c>
      <c r="T88">
        <f t="shared" si="76"/>
        <v>0</v>
      </c>
      <c r="U88" t="str">
        <f t="shared" si="77"/>
        <v>Marché 1</v>
      </c>
      <c r="V88">
        <f>VLOOKUP(U88,pxmassif,$D88-2010,FALSE)*S88</f>
        <v>84.375</v>
      </c>
      <c r="W88">
        <f>VLOOKUP(U88,pxcopeau,$D88-2010,FALSE)*T88</f>
        <v>0</v>
      </c>
      <c r="X88" t="str">
        <f t="shared" si="78"/>
        <v>SO</v>
      </c>
      <c r="Y88">
        <f t="shared" si="79"/>
        <v>0</v>
      </c>
      <c r="Z88">
        <f t="shared" si="80"/>
        <v>0</v>
      </c>
      <c r="AA88" t="str">
        <f t="shared" si="81"/>
        <v>Marché 1</v>
      </c>
      <c r="AB88">
        <f>VLOOKUP(AA88,pxmassif,$D88-2010,FALSE)*Y88</f>
        <v>0</v>
      </c>
      <c r="AC88">
        <f>VLOOKUP(AA88,pxcopeau,$D88-2010,FALSE)*Z88</f>
        <v>0</v>
      </c>
      <c r="AD88">
        <f t="shared" si="88"/>
        <v>13.05</v>
      </c>
      <c r="AE88">
        <f t="shared" si="89"/>
        <v>0</v>
      </c>
      <c r="AF88">
        <f t="shared" si="90"/>
        <v>6.3</v>
      </c>
      <c r="AG88">
        <f t="shared" si="91"/>
        <v>6.75</v>
      </c>
      <c r="AH88">
        <f t="shared" si="92"/>
        <v>0</v>
      </c>
      <c r="AI88">
        <f t="shared" si="93"/>
        <v>13.05</v>
      </c>
      <c r="AJ88">
        <f t="shared" si="94"/>
        <v>0</v>
      </c>
      <c r="AK88">
        <f t="shared" si="82"/>
        <v>13.4154</v>
      </c>
      <c r="AL88">
        <f t="shared" si="83"/>
        <v>0</v>
      </c>
      <c r="AM88">
        <f>IFERROR(MIN(AL88,VLOOKUP(CONCATENATE(C88,"-to lingot"),negchutes,D88-2007,FALSE)),0)</f>
        <v>0</v>
      </c>
      <c r="AN88">
        <f t="shared" si="95"/>
        <v>0</v>
      </c>
      <c r="AO88" t="str">
        <f t="shared" si="96"/>
        <v>SO</v>
      </c>
      <c r="AP88">
        <f>IF(AR88=0,0,IFERROR(VLOOKUP(CONCATENATE($C88,"-to massif"),negchutes,$D88-2007,FALSE),0)*AM88/AR88)</f>
        <v>0</v>
      </c>
      <c r="AQ88">
        <f>IF(AR88=0,0,IFERROR(VLOOKUP(CONCATENATE($C88,"-to copeaux"),negchutes,$D88-2007,FALSE),0)*AM88/AR88)</f>
        <v>0</v>
      </c>
      <c r="AR88">
        <f>IFERROR(VLOOKUP(CONCATENATE($C88,"-to lingot"),negchutes,$D88-2007,FALSE),0)</f>
        <v>0</v>
      </c>
      <c r="AS88">
        <f>IF(AR88=0,0,AP88*VLOOKUP(CONCATENATE($C88,"-ac massif"),negchutes,$D88-2007,FALSE))</f>
        <v>0</v>
      </c>
      <c r="AT88">
        <f>IF(AR88=0,0,AQ88*VLOOKUP(CONCATENATE($C88,"-ac copeaux"),negchutes,$D88-2007,FALSE))</f>
        <v>0</v>
      </c>
      <c r="AU88">
        <f t="shared" si="84"/>
        <v>0</v>
      </c>
      <c r="AV88">
        <f>IFERROR(VLOOKUP(CONCATENATE(C88,"-px lingot"),negchutes,D88-2007,FALSE),0)*AM88</f>
        <v>0</v>
      </c>
      <c r="AW88">
        <f>AN88*VLOOKUP("Marché 1",pxlingot,D88-2010,FALSE)</f>
        <v>0</v>
      </c>
      <c r="AX88">
        <f t="shared" si="97"/>
        <v>0</v>
      </c>
      <c r="AY88" t="str">
        <f t="shared" si="85"/>
        <v>VAR</v>
      </c>
      <c r="AZ88">
        <f t="shared" si="86"/>
        <v>6.4763999999999999</v>
      </c>
      <c r="BA88">
        <f>MAX(VLOOKUP(VLOOKUP(C88,descmarche,28,FALSE),pxlingot,D88-2010,FALSE),AX88)</f>
        <v>0</v>
      </c>
      <c r="BB88">
        <f t="shared" si="98"/>
        <v>0</v>
      </c>
      <c r="BC88" t="str">
        <f t="shared" si="87"/>
        <v>SO</v>
      </c>
    </row>
    <row r="89" spans="1:55" x14ac:dyDescent="0.25">
      <c r="A89" t="s">
        <v>16</v>
      </c>
      <c r="B89" s="4" t="s">
        <v>48</v>
      </c>
      <c r="C89" t="str">
        <f t="shared" si="100"/>
        <v>UKTMP-07</v>
      </c>
      <c r="D89">
        <v>2020</v>
      </c>
      <c r="E89">
        <v>150</v>
      </c>
      <c r="F89" t="str">
        <f t="shared" si="65"/>
        <v>Médical</v>
      </c>
      <c r="G89" t="str">
        <f t="shared" si="66"/>
        <v xml:space="preserve">Stainless source UKTMP </v>
      </c>
      <c r="H89" t="str">
        <f t="shared" si="40"/>
        <v>Aval UKAD</v>
      </c>
      <c r="I89">
        <f t="shared" si="67"/>
        <v>23</v>
      </c>
      <c r="J89">
        <f t="shared" si="68"/>
        <v>1411</v>
      </c>
      <c r="K89">
        <f t="shared" si="69"/>
        <v>150</v>
      </c>
      <c r="L89">
        <f t="shared" si="70"/>
        <v>211.65</v>
      </c>
      <c r="M89">
        <f t="shared" si="71"/>
        <v>7.875</v>
      </c>
      <c r="N89">
        <f t="shared" si="72"/>
        <v>0</v>
      </c>
      <c r="O89" t="str">
        <f t="shared" si="73"/>
        <v>Marché 1</v>
      </c>
      <c r="P89">
        <f>VLOOKUP(O89,pxmassif,D89-2010,FALSE)*M89</f>
        <v>98.4375</v>
      </c>
      <c r="Q89">
        <f>VLOOKUP(O89,pxcopeau,D89-2010,FALSE)*N89</f>
        <v>0</v>
      </c>
      <c r="R89" t="str">
        <f t="shared" si="74"/>
        <v>BA pour UKAD</v>
      </c>
      <c r="S89">
        <f t="shared" si="75"/>
        <v>8.4375</v>
      </c>
      <c r="T89">
        <f t="shared" si="76"/>
        <v>0</v>
      </c>
      <c r="U89" t="str">
        <f t="shared" si="77"/>
        <v>Marché 1</v>
      </c>
      <c r="V89">
        <f>VLOOKUP(U89,pxmassif,$D89-2010,FALSE)*S89</f>
        <v>105.46875</v>
      </c>
      <c r="W89">
        <f>VLOOKUP(U89,pxcopeau,$D89-2010,FALSE)*T89</f>
        <v>0</v>
      </c>
      <c r="X89" t="str">
        <f t="shared" si="78"/>
        <v>SO</v>
      </c>
      <c r="Y89">
        <f t="shared" si="79"/>
        <v>0</v>
      </c>
      <c r="Z89">
        <f t="shared" si="80"/>
        <v>0</v>
      </c>
      <c r="AA89" t="str">
        <f t="shared" si="81"/>
        <v>Marché 1</v>
      </c>
      <c r="AB89">
        <f>VLOOKUP(AA89,pxmassif,$D89-2010,FALSE)*Y89</f>
        <v>0</v>
      </c>
      <c r="AC89">
        <f>VLOOKUP(AA89,pxcopeau,$D89-2010,FALSE)*Z89</f>
        <v>0</v>
      </c>
      <c r="AD89">
        <f t="shared" si="88"/>
        <v>16.3125</v>
      </c>
      <c r="AE89">
        <f t="shared" si="89"/>
        <v>0</v>
      </c>
      <c r="AF89">
        <f t="shared" si="90"/>
        <v>7.875</v>
      </c>
      <c r="AG89">
        <f t="shared" si="91"/>
        <v>8.4375</v>
      </c>
      <c r="AH89">
        <f t="shared" si="92"/>
        <v>0</v>
      </c>
      <c r="AI89">
        <f t="shared" si="93"/>
        <v>16.3125</v>
      </c>
      <c r="AJ89">
        <f t="shared" si="94"/>
        <v>0</v>
      </c>
      <c r="AK89">
        <f t="shared" si="82"/>
        <v>16.76925</v>
      </c>
      <c r="AL89">
        <f t="shared" si="83"/>
        <v>0</v>
      </c>
      <c r="AM89">
        <f>IFERROR(MIN(AL89,VLOOKUP(CONCATENATE(C89,"-to lingot"),negchutes,D89-2007,FALSE)),0)</f>
        <v>0</v>
      </c>
      <c r="AN89">
        <f t="shared" si="95"/>
        <v>0</v>
      </c>
      <c r="AO89" t="str">
        <f t="shared" si="96"/>
        <v>SO</v>
      </c>
      <c r="AP89">
        <f>IF(AR89=0,0,IFERROR(VLOOKUP(CONCATENATE($C89,"-to massif"),negchutes,$D89-2007,FALSE),0)*AM89/AR89)</f>
        <v>0</v>
      </c>
      <c r="AQ89">
        <f>IF(AR89=0,0,IFERROR(VLOOKUP(CONCATENATE($C89,"-to copeaux"),negchutes,$D89-2007,FALSE),0)*AM89/AR89)</f>
        <v>0</v>
      </c>
      <c r="AR89">
        <f>IFERROR(VLOOKUP(CONCATENATE($C89,"-to lingot"),negchutes,$D89-2007,FALSE),0)</f>
        <v>0</v>
      </c>
      <c r="AS89">
        <f>IF(AR89=0,0,AP89*VLOOKUP(CONCATENATE($C89,"-ac massif"),negchutes,$D89-2007,FALSE))</f>
        <v>0</v>
      </c>
      <c r="AT89">
        <f>IF(AR89=0,0,AQ89*VLOOKUP(CONCATENATE($C89,"-ac copeaux"),negchutes,$D89-2007,FALSE))</f>
        <v>0</v>
      </c>
      <c r="AU89">
        <f t="shared" si="84"/>
        <v>0</v>
      </c>
      <c r="AV89">
        <f>IFERROR(VLOOKUP(CONCATENATE(C89,"-px lingot"),negchutes,D89-2007,FALSE),0)*AM89</f>
        <v>0</v>
      </c>
      <c r="AW89">
        <f>AN89*VLOOKUP("Marché 1",pxlingot,D89-2010,FALSE)</f>
        <v>0</v>
      </c>
      <c r="AX89">
        <f t="shared" si="97"/>
        <v>0</v>
      </c>
      <c r="AY89" t="str">
        <f t="shared" si="85"/>
        <v>VAR</v>
      </c>
      <c r="AZ89">
        <f t="shared" si="86"/>
        <v>8.0954999999999995</v>
      </c>
      <c r="BA89">
        <f>MAX(VLOOKUP(VLOOKUP(C89,descmarche,28,FALSE),pxlingot,D89-2010,FALSE),AX89)</f>
        <v>0</v>
      </c>
      <c r="BB89">
        <f t="shared" si="98"/>
        <v>0</v>
      </c>
      <c r="BC89" t="str">
        <f t="shared" si="87"/>
        <v>SO</v>
      </c>
    </row>
    <row r="90" spans="1:55" x14ac:dyDescent="0.25">
      <c r="A90" t="s">
        <v>16</v>
      </c>
      <c r="B90" s="4" t="s">
        <v>48</v>
      </c>
      <c r="C90" t="str">
        <f t="shared" si="100"/>
        <v>UKTMP-07</v>
      </c>
      <c r="D90">
        <v>2021</v>
      </c>
      <c r="E90">
        <v>150</v>
      </c>
      <c r="F90" t="str">
        <f t="shared" si="65"/>
        <v>Médical</v>
      </c>
      <c r="G90" t="str">
        <f t="shared" si="66"/>
        <v xml:space="preserve">Stainless source UKTMP </v>
      </c>
      <c r="H90" t="str">
        <f t="shared" si="40"/>
        <v>Aval UKAD</v>
      </c>
      <c r="I90">
        <f t="shared" si="67"/>
        <v>23</v>
      </c>
      <c r="J90">
        <f t="shared" si="68"/>
        <v>1411</v>
      </c>
      <c r="K90">
        <f t="shared" si="69"/>
        <v>150</v>
      </c>
      <c r="L90">
        <f t="shared" si="70"/>
        <v>211.65</v>
      </c>
      <c r="M90">
        <f t="shared" si="71"/>
        <v>7.875</v>
      </c>
      <c r="N90">
        <f t="shared" si="72"/>
        <v>0</v>
      </c>
      <c r="O90" t="str">
        <f t="shared" si="73"/>
        <v>Marché 1</v>
      </c>
      <c r="P90">
        <f>VLOOKUP(O90,pxmassif,D90-2010,FALSE)*M90</f>
        <v>98.4375</v>
      </c>
      <c r="Q90">
        <f>VLOOKUP(O90,pxcopeau,D90-2010,FALSE)*N90</f>
        <v>0</v>
      </c>
      <c r="R90" t="str">
        <f t="shared" si="74"/>
        <v>BA pour UKAD</v>
      </c>
      <c r="S90">
        <f t="shared" si="75"/>
        <v>8.4375</v>
      </c>
      <c r="T90">
        <f t="shared" si="76"/>
        <v>0</v>
      </c>
      <c r="U90" t="str">
        <f t="shared" si="77"/>
        <v>Marché 1</v>
      </c>
      <c r="V90">
        <f>VLOOKUP(U90,pxmassif,$D90-2010,FALSE)*S90</f>
        <v>105.46875</v>
      </c>
      <c r="W90">
        <f>VLOOKUP(U90,pxcopeau,$D90-2010,FALSE)*T90</f>
        <v>0</v>
      </c>
      <c r="X90" t="str">
        <f t="shared" si="78"/>
        <v>SO</v>
      </c>
      <c r="Y90">
        <f t="shared" si="79"/>
        <v>0</v>
      </c>
      <c r="Z90">
        <f t="shared" si="80"/>
        <v>0</v>
      </c>
      <c r="AA90" t="str">
        <f t="shared" si="81"/>
        <v>Marché 1</v>
      </c>
      <c r="AB90">
        <f>VLOOKUP(AA90,pxmassif,$D90-2010,FALSE)*Y90</f>
        <v>0</v>
      </c>
      <c r="AC90">
        <f>VLOOKUP(AA90,pxcopeau,$D90-2010,FALSE)*Z90</f>
        <v>0</v>
      </c>
      <c r="AD90">
        <f t="shared" si="88"/>
        <v>16.3125</v>
      </c>
      <c r="AE90">
        <f t="shared" si="89"/>
        <v>0</v>
      </c>
      <c r="AF90">
        <f t="shared" si="90"/>
        <v>7.875</v>
      </c>
      <c r="AG90">
        <f t="shared" si="91"/>
        <v>8.4375</v>
      </c>
      <c r="AH90">
        <f t="shared" si="92"/>
        <v>0</v>
      </c>
      <c r="AI90">
        <f t="shared" si="93"/>
        <v>16.3125</v>
      </c>
      <c r="AJ90">
        <f t="shared" si="94"/>
        <v>0</v>
      </c>
      <c r="AK90">
        <f t="shared" si="82"/>
        <v>16.76925</v>
      </c>
      <c r="AL90">
        <f t="shared" si="83"/>
        <v>0</v>
      </c>
      <c r="AM90">
        <f>IFERROR(MIN(AL90,VLOOKUP(CONCATENATE(C90,"-to lingot"),negchutes,D90-2007,FALSE)),0)</f>
        <v>0</v>
      </c>
      <c r="AN90">
        <f t="shared" si="95"/>
        <v>0</v>
      </c>
      <c r="AO90" t="str">
        <f t="shared" si="96"/>
        <v>SO</v>
      </c>
      <c r="AP90">
        <f>IF(AR90=0,0,IFERROR(VLOOKUP(CONCATENATE($C90,"-to massif"),negchutes,$D90-2007,FALSE),0)*AM90/AR90)</f>
        <v>0</v>
      </c>
      <c r="AQ90">
        <f>IF(AR90=0,0,IFERROR(VLOOKUP(CONCATENATE($C90,"-to copeaux"),negchutes,$D90-2007,FALSE),0)*AM90/AR90)</f>
        <v>0</v>
      </c>
      <c r="AR90">
        <f>IFERROR(VLOOKUP(CONCATENATE($C90,"-to lingot"),negchutes,$D90-2007,FALSE),0)</f>
        <v>0</v>
      </c>
      <c r="AS90">
        <f>IF(AR90=0,0,AP90*VLOOKUP(CONCATENATE($C90,"-ac massif"),negchutes,$D90-2007,FALSE))</f>
        <v>0</v>
      </c>
      <c r="AT90">
        <f>IF(AR90=0,0,AQ90*VLOOKUP(CONCATENATE($C90,"-ac copeaux"),negchutes,$D90-2007,FALSE))</f>
        <v>0</v>
      </c>
      <c r="AU90">
        <f t="shared" si="84"/>
        <v>0</v>
      </c>
      <c r="AV90">
        <f>IFERROR(VLOOKUP(CONCATENATE(C90,"-px lingot"),negchutes,D90-2007,FALSE),0)*AM90</f>
        <v>0</v>
      </c>
      <c r="AW90">
        <f>AN90*VLOOKUP("Marché 1",pxlingot,D90-2010,FALSE)</f>
        <v>0</v>
      </c>
      <c r="AX90">
        <f t="shared" si="97"/>
        <v>0</v>
      </c>
      <c r="AY90" t="str">
        <f t="shared" si="85"/>
        <v>VAR</v>
      </c>
      <c r="AZ90">
        <f t="shared" si="86"/>
        <v>8.0954999999999995</v>
      </c>
      <c r="BA90">
        <f>MAX(VLOOKUP(VLOOKUP(C90,descmarche,28,FALSE),pxlingot,D90-2010,FALSE),AX90)</f>
        <v>0</v>
      </c>
      <c r="BB90">
        <f t="shared" si="98"/>
        <v>0</v>
      </c>
      <c r="BC90" t="str">
        <f t="shared" si="87"/>
        <v>SO</v>
      </c>
    </row>
    <row r="91" spans="1:55" x14ac:dyDescent="0.25">
      <c r="A91" t="s">
        <v>16</v>
      </c>
      <c r="B91" s="4" t="s">
        <v>48</v>
      </c>
      <c r="C91" t="str">
        <f t="shared" si="100"/>
        <v>UKTMP-07</v>
      </c>
      <c r="D91">
        <v>2022</v>
      </c>
      <c r="E91">
        <v>150</v>
      </c>
      <c r="F91" t="str">
        <f t="shared" si="65"/>
        <v>Médical</v>
      </c>
      <c r="G91" t="str">
        <f t="shared" si="66"/>
        <v xml:space="preserve">Stainless source UKTMP </v>
      </c>
      <c r="H91" t="str">
        <f t="shared" si="40"/>
        <v>Aval UKAD</v>
      </c>
      <c r="I91">
        <f t="shared" si="67"/>
        <v>23</v>
      </c>
      <c r="J91">
        <f t="shared" si="68"/>
        <v>1411</v>
      </c>
      <c r="K91">
        <f t="shared" si="69"/>
        <v>150</v>
      </c>
      <c r="L91">
        <f t="shared" si="70"/>
        <v>211.65</v>
      </c>
      <c r="M91">
        <f t="shared" si="71"/>
        <v>7.875</v>
      </c>
      <c r="N91">
        <f t="shared" si="72"/>
        <v>0</v>
      </c>
      <c r="O91" t="str">
        <f t="shared" si="73"/>
        <v>Marché 1</v>
      </c>
      <c r="P91">
        <f>VLOOKUP(O91,pxmassif,D91-2010,FALSE)*M91</f>
        <v>98.4375</v>
      </c>
      <c r="Q91">
        <f>VLOOKUP(O91,pxcopeau,D91-2010,FALSE)*N91</f>
        <v>0</v>
      </c>
      <c r="R91" t="str">
        <f t="shared" si="74"/>
        <v>BA pour UKAD</v>
      </c>
      <c r="S91">
        <f t="shared" si="75"/>
        <v>8.4375</v>
      </c>
      <c r="T91">
        <f t="shared" si="76"/>
        <v>0</v>
      </c>
      <c r="U91" t="str">
        <f t="shared" si="77"/>
        <v>Marché 1</v>
      </c>
      <c r="V91">
        <f>VLOOKUP(U91,pxmassif,$D91-2010,FALSE)*S91</f>
        <v>105.46875</v>
      </c>
      <c r="W91">
        <f>VLOOKUP(U91,pxcopeau,$D91-2010,FALSE)*T91</f>
        <v>0</v>
      </c>
      <c r="X91" t="str">
        <f t="shared" si="78"/>
        <v>SO</v>
      </c>
      <c r="Y91">
        <f t="shared" si="79"/>
        <v>0</v>
      </c>
      <c r="Z91">
        <f t="shared" si="80"/>
        <v>0</v>
      </c>
      <c r="AA91" t="str">
        <f t="shared" si="81"/>
        <v>Marché 1</v>
      </c>
      <c r="AB91">
        <f>VLOOKUP(AA91,pxmassif,$D91-2010,FALSE)*Y91</f>
        <v>0</v>
      </c>
      <c r="AC91">
        <f>VLOOKUP(AA91,pxcopeau,$D91-2010,FALSE)*Z91</f>
        <v>0</v>
      </c>
      <c r="AD91">
        <f t="shared" si="88"/>
        <v>16.3125</v>
      </c>
      <c r="AE91">
        <f t="shared" si="89"/>
        <v>0</v>
      </c>
      <c r="AF91">
        <f t="shared" si="90"/>
        <v>7.875</v>
      </c>
      <c r="AG91">
        <f t="shared" si="91"/>
        <v>8.4375</v>
      </c>
      <c r="AH91">
        <f t="shared" si="92"/>
        <v>0</v>
      </c>
      <c r="AI91">
        <f t="shared" si="93"/>
        <v>16.3125</v>
      </c>
      <c r="AJ91">
        <f t="shared" si="94"/>
        <v>0</v>
      </c>
      <c r="AK91">
        <f t="shared" si="82"/>
        <v>16.76925</v>
      </c>
      <c r="AL91">
        <f t="shared" si="83"/>
        <v>0</v>
      </c>
      <c r="AM91">
        <f>IFERROR(MIN(AL91,VLOOKUP(CONCATENATE(C91,"-to lingot"),negchutes,D91-2007,FALSE)),0)</f>
        <v>0</v>
      </c>
      <c r="AN91">
        <f t="shared" si="95"/>
        <v>0</v>
      </c>
      <c r="AO91" t="str">
        <f t="shared" si="96"/>
        <v>SO</v>
      </c>
      <c r="AP91">
        <f>IF(AR91=0,0,IFERROR(VLOOKUP(CONCATENATE($C91,"-to massif"),negchutes,$D91-2007,FALSE),0)*AM91/AR91)</f>
        <v>0</v>
      </c>
      <c r="AQ91">
        <f>IF(AR91=0,0,IFERROR(VLOOKUP(CONCATENATE($C91,"-to copeaux"),negchutes,$D91-2007,FALSE),0)*AM91/AR91)</f>
        <v>0</v>
      </c>
      <c r="AR91">
        <f>IFERROR(VLOOKUP(CONCATENATE($C91,"-to lingot"),negchutes,$D91-2007,FALSE),0)</f>
        <v>0</v>
      </c>
      <c r="AS91">
        <f>IF(AR91=0,0,AP91*VLOOKUP(CONCATENATE($C91,"-ac massif"),negchutes,$D91-2007,FALSE))</f>
        <v>0</v>
      </c>
      <c r="AT91">
        <f>IF(AR91=0,0,AQ91*VLOOKUP(CONCATENATE($C91,"-ac copeaux"),negchutes,$D91-2007,FALSE))</f>
        <v>0</v>
      </c>
      <c r="AU91">
        <f t="shared" si="84"/>
        <v>0</v>
      </c>
      <c r="AV91">
        <f>IFERROR(VLOOKUP(CONCATENATE(C91,"-px lingot"),negchutes,D91-2007,FALSE),0)*AM91</f>
        <v>0</v>
      </c>
      <c r="AW91">
        <f>AN91*VLOOKUP("Marché 1",pxlingot,D91-2010,FALSE)</f>
        <v>0</v>
      </c>
      <c r="AX91">
        <f t="shared" si="97"/>
        <v>0</v>
      </c>
      <c r="AY91" t="str">
        <f t="shared" si="85"/>
        <v>VAR</v>
      </c>
      <c r="AZ91">
        <f t="shared" si="86"/>
        <v>8.0954999999999995</v>
      </c>
      <c r="BA91">
        <f>MAX(VLOOKUP(VLOOKUP(C91,descmarche,28,FALSE),pxlingot,D91-2010,FALSE),AX91)</f>
        <v>0</v>
      </c>
      <c r="BB91">
        <f t="shared" si="98"/>
        <v>0</v>
      </c>
      <c r="BC91" t="str">
        <f t="shared" si="87"/>
        <v>SO</v>
      </c>
    </row>
    <row r="92" spans="1:55" x14ac:dyDescent="0.25">
      <c r="A92" t="s">
        <v>16</v>
      </c>
      <c r="B92" s="4" t="s">
        <v>48</v>
      </c>
      <c r="C92" t="str">
        <f t="shared" si="100"/>
        <v>UKTMP-07</v>
      </c>
      <c r="D92">
        <v>2023</v>
      </c>
      <c r="E92">
        <v>150</v>
      </c>
      <c r="F92" t="str">
        <f t="shared" si="65"/>
        <v>Médical</v>
      </c>
      <c r="G92" t="str">
        <f t="shared" si="66"/>
        <v xml:space="preserve">Stainless source UKTMP </v>
      </c>
      <c r="H92" t="str">
        <f t="shared" si="40"/>
        <v>Aval UKAD</v>
      </c>
      <c r="I92">
        <f t="shared" si="67"/>
        <v>23</v>
      </c>
      <c r="J92">
        <f t="shared" si="68"/>
        <v>1411</v>
      </c>
      <c r="K92">
        <f t="shared" si="69"/>
        <v>150</v>
      </c>
      <c r="L92">
        <f t="shared" si="70"/>
        <v>211.65</v>
      </c>
      <c r="M92">
        <f t="shared" si="71"/>
        <v>7.875</v>
      </c>
      <c r="N92">
        <f t="shared" si="72"/>
        <v>0</v>
      </c>
      <c r="O92" t="str">
        <f t="shared" si="73"/>
        <v>Marché 1</v>
      </c>
      <c r="P92">
        <f>VLOOKUP(O92,pxmassif,D92-2010,FALSE)*M92</f>
        <v>98.4375</v>
      </c>
      <c r="Q92">
        <f>VLOOKUP(O92,pxcopeau,D92-2010,FALSE)*N92</f>
        <v>0</v>
      </c>
      <c r="R92" t="str">
        <f t="shared" si="74"/>
        <v>BA pour UKAD</v>
      </c>
      <c r="S92">
        <f t="shared" si="75"/>
        <v>8.4375</v>
      </c>
      <c r="T92">
        <f t="shared" si="76"/>
        <v>0</v>
      </c>
      <c r="U92" t="str">
        <f t="shared" si="77"/>
        <v>Marché 1</v>
      </c>
      <c r="V92">
        <f>VLOOKUP(U92,pxmassif,$D92-2010,FALSE)*S92</f>
        <v>105.46875</v>
      </c>
      <c r="W92">
        <f>VLOOKUP(U92,pxcopeau,$D92-2010,FALSE)*T92</f>
        <v>0</v>
      </c>
      <c r="X92" t="str">
        <f t="shared" si="78"/>
        <v>SO</v>
      </c>
      <c r="Y92">
        <f t="shared" si="79"/>
        <v>0</v>
      </c>
      <c r="Z92">
        <f t="shared" si="80"/>
        <v>0</v>
      </c>
      <c r="AA92" t="str">
        <f t="shared" si="81"/>
        <v>Marché 1</v>
      </c>
      <c r="AB92">
        <f>VLOOKUP(AA92,pxmassif,$D92-2010,FALSE)*Y92</f>
        <v>0</v>
      </c>
      <c r="AC92">
        <f>VLOOKUP(AA92,pxcopeau,$D92-2010,FALSE)*Z92</f>
        <v>0</v>
      </c>
      <c r="AD92">
        <f t="shared" si="88"/>
        <v>16.3125</v>
      </c>
      <c r="AE92">
        <f t="shared" si="89"/>
        <v>0</v>
      </c>
      <c r="AF92">
        <f t="shared" si="90"/>
        <v>7.875</v>
      </c>
      <c r="AG92">
        <f t="shared" si="91"/>
        <v>8.4375</v>
      </c>
      <c r="AH92">
        <f t="shared" si="92"/>
        <v>0</v>
      </c>
      <c r="AI92">
        <f t="shared" si="93"/>
        <v>16.3125</v>
      </c>
      <c r="AJ92">
        <f t="shared" si="94"/>
        <v>0</v>
      </c>
      <c r="AK92">
        <f t="shared" si="82"/>
        <v>16.76925</v>
      </c>
      <c r="AL92">
        <f t="shared" si="83"/>
        <v>0</v>
      </c>
      <c r="AM92">
        <f>IFERROR(MIN(AL92,VLOOKUP(CONCATENATE(C92,"-to lingot"),negchutes,D92-2007,FALSE)),0)</f>
        <v>0</v>
      </c>
      <c r="AN92">
        <f t="shared" si="95"/>
        <v>0</v>
      </c>
      <c r="AO92" t="str">
        <f t="shared" si="96"/>
        <v>SO</v>
      </c>
      <c r="AP92">
        <f>IF(AR92=0,0,IFERROR(VLOOKUP(CONCATENATE($C92,"-to massif"),negchutes,$D92-2007,FALSE),0)*AM92/AR92)</f>
        <v>0</v>
      </c>
      <c r="AQ92">
        <f>IF(AR92=0,0,IFERROR(VLOOKUP(CONCATENATE($C92,"-to copeaux"),negchutes,$D92-2007,FALSE),0)*AM92/AR92)</f>
        <v>0</v>
      </c>
      <c r="AR92">
        <f>IFERROR(VLOOKUP(CONCATENATE($C92,"-to lingot"),negchutes,$D92-2007,FALSE),0)</f>
        <v>0</v>
      </c>
      <c r="AS92">
        <f>IF(AR92=0,0,AP92*VLOOKUP(CONCATENATE($C92,"-ac massif"),negchutes,$D92-2007,FALSE))</f>
        <v>0</v>
      </c>
      <c r="AT92">
        <f>IF(AR92=0,0,AQ92*VLOOKUP(CONCATENATE($C92,"-ac copeaux"),negchutes,$D92-2007,FALSE))</f>
        <v>0</v>
      </c>
      <c r="AU92">
        <f t="shared" si="84"/>
        <v>0</v>
      </c>
      <c r="AV92">
        <f>IFERROR(VLOOKUP(CONCATENATE(C92,"-px lingot"),negchutes,D92-2007,FALSE),0)*AM92</f>
        <v>0</v>
      </c>
      <c r="AW92">
        <f>AN92*VLOOKUP("Marché 1",pxlingot,D92-2010,FALSE)</f>
        <v>0</v>
      </c>
      <c r="AX92">
        <f t="shared" si="97"/>
        <v>0</v>
      </c>
      <c r="AY92" t="str">
        <f t="shared" si="85"/>
        <v>VAR</v>
      </c>
      <c r="AZ92">
        <f t="shared" si="86"/>
        <v>8.0954999999999995</v>
      </c>
      <c r="BA92">
        <f>MAX(VLOOKUP(VLOOKUP(C92,descmarche,28,FALSE),pxlingot,D92-2010,FALSE),AX92)</f>
        <v>0</v>
      </c>
      <c r="BB92">
        <f t="shared" si="98"/>
        <v>0</v>
      </c>
      <c r="BC92" t="str">
        <f t="shared" si="87"/>
        <v>SO</v>
      </c>
    </row>
    <row r="93" spans="1:55" x14ac:dyDescent="0.25">
      <c r="A93" t="s">
        <v>16</v>
      </c>
      <c r="B93" s="4" t="s">
        <v>48</v>
      </c>
      <c r="C93" t="str">
        <f t="shared" si="100"/>
        <v>UKTMP-07</v>
      </c>
      <c r="D93">
        <v>2024</v>
      </c>
      <c r="E93">
        <v>150</v>
      </c>
      <c r="F93" t="str">
        <f t="shared" si="65"/>
        <v>Médical</v>
      </c>
      <c r="G93" t="str">
        <f t="shared" si="66"/>
        <v xml:space="preserve">Stainless source UKTMP </v>
      </c>
      <c r="H93" t="str">
        <f t="shared" si="40"/>
        <v>Aval UKAD</v>
      </c>
      <c r="I93">
        <f t="shared" si="67"/>
        <v>23</v>
      </c>
      <c r="J93">
        <f t="shared" si="68"/>
        <v>1411</v>
      </c>
      <c r="K93">
        <f t="shared" si="69"/>
        <v>150</v>
      </c>
      <c r="L93">
        <f t="shared" si="70"/>
        <v>211.65</v>
      </c>
      <c r="M93">
        <f t="shared" si="71"/>
        <v>7.875</v>
      </c>
      <c r="N93">
        <f t="shared" si="72"/>
        <v>0</v>
      </c>
      <c r="O93" t="str">
        <f t="shared" si="73"/>
        <v>Marché 1</v>
      </c>
      <c r="P93">
        <f>VLOOKUP(O93,pxmassif,D93-2010,FALSE)*M93</f>
        <v>98.4375</v>
      </c>
      <c r="Q93">
        <f>VLOOKUP(O93,pxcopeau,D93-2010,FALSE)*N93</f>
        <v>0</v>
      </c>
      <c r="R93" t="str">
        <f t="shared" si="74"/>
        <v>BA pour UKAD</v>
      </c>
      <c r="S93">
        <f t="shared" si="75"/>
        <v>8.4375</v>
      </c>
      <c r="T93">
        <f t="shared" si="76"/>
        <v>0</v>
      </c>
      <c r="U93" t="str">
        <f t="shared" si="77"/>
        <v>Marché 1</v>
      </c>
      <c r="V93">
        <f>VLOOKUP(U93,pxmassif,$D93-2010,FALSE)*S93</f>
        <v>105.46875</v>
      </c>
      <c r="W93">
        <f>VLOOKUP(U93,pxcopeau,$D93-2010,FALSE)*T93</f>
        <v>0</v>
      </c>
      <c r="X93" t="str">
        <f t="shared" si="78"/>
        <v>SO</v>
      </c>
      <c r="Y93">
        <f t="shared" si="79"/>
        <v>0</v>
      </c>
      <c r="Z93">
        <f t="shared" si="80"/>
        <v>0</v>
      </c>
      <c r="AA93" t="str">
        <f t="shared" si="81"/>
        <v>Marché 1</v>
      </c>
      <c r="AB93">
        <f>VLOOKUP(AA93,pxmassif,$D93-2010,FALSE)*Y93</f>
        <v>0</v>
      </c>
      <c r="AC93">
        <f>VLOOKUP(AA93,pxcopeau,$D93-2010,FALSE)*Z93</f>
        <v>0</v>
      </c>
      <c r="AD93">
        <f t="shared" si="88"/>
        <v>16.3125</v>
      </c>
      <c r="AE93">
        <f t="shared" si="89"/>
        <v>0</v>
      </c>
      <c r="AF93">
        <f t="shared" si="90"/>
        <v>7.875</v>
      </c>
      <c r="AG93">
        <f t="shared" si="91"/>
        <v>8.4375</v>
      </c>
      <c r="AH93">
        <f t="shared" si="92"/>
        <v>0</v>
      </c>
      <c r="AI93">
        <f t="shared" si="93"/>
        <v>16.3125</v>
      </c>
      <c r="AJ93">
        <f t="shared" si="94"/>
        <v>0</v>
      </c>
      <c r="AK93">
        <f t="shared" si="82"/>
        <v>16.76925</v>
      </c>
      <c r="AL93">
        <f t="shared" si="83"/>
        <v>0</v>
      </c>
      <c r="AM93">
        <f>IFERROR(MIN(AL93,VLOOKUP(CONCATENATE(C93,"-to lingot"),negchutes,D93-2007,FALSE)),0)</f>
        <v>0</v>
      </c>
      <c r="AN93">
        <f t="shared" si="95"/>
        <v>0</v>
      </c>
      <c r="AO93" t="str">
        <f t="shared" si="96"/>
        <v>SO</v>
      </c>
      <c r="AP93">
        <f>IF(AR93=0,0,IFERROR(VLOOKUP(CONCATENATE($C93,"-to massif"),negchutes,$D93-2007,FALSE),0)*AM93/AR93)</f>
        <v>0</v>
      </c>
      <c r="AQ93">
        <f>IF(AR93=0,0,IFERROR(VLOOKUP(CONCATENATE($C93,"-to copeaux"),negchutes,$D93-2007,FALSE),0)*AM93/AR93)</f>
        <v>0</v>
      </c>
      <c r="AR93">
        <f>IFERROR(VLOOKUP(CONCATENATE($C93,"-to lingot"),negchutes,$D93-2007,FALSE),0)</f>
        <v>0</v>
      </c>
      <c r="AS93">
        <f>IF(AR93=0,0,AP93*VLOOKUP(CONCATENATE($C93,"-ac massif"),negchutes,$D93-2007,FALSE))</f>
        <v>0</v>
      </c>
      <c r="AT93">
        <f>IF(AR93=0,0,AQ93*VLOOKUP(CONCATENATE($C93,"-ac copeaux"),negchutes,$D93-2007,FALSE))</f>
        <v>0</v>
      </c>
      <c r="AU93">
        <f t="shared" si="84"/>
        <v>0</v>
      </c>
      <c r="AV93">
        <f>IFERROR(VLOOKUP(CONCATENATE(C93,"-px lingot"),negchutes,D93-2007,FALSE),0)*AM93</f>
        <v>0</v>
      </c>
      <c r="AW93">
        <f>AN93*VLOOKUP("Marché 1",pxlingot,D93-2010,FALSE)</f>
        <v>0</v>
      </c>
      <c r="AX93">
        <f t="shared" si="97"/>
        <v>0</v>
      </c>
      <c r="AY93" t="str">
        <f t="shared" si="85"/>
        <v>VAR</v>
      </c>
      <c r="AZ93">
        <f t="shared" si="86"/>
        <v>8.0954999999999995</v>
      </c>
      <c r="BA93">
        <f>MAX(VLOOKUP(VLOOKUP(C93,descmarche,28,FALSE),pxlingot,D93-2010,FALSE),AX93)</f>
        <v>0</v>
      </c>
      <c r="BB93">
        <f t="shared" si="98"/>
        <v>0</v>
      </c>
      <c r="BC93" t="str">
        <f t="shared" si="87"/>
        <v>SO</v>
      </c>
    </row>
    <row r="94" spans="1:55" x14ac:dyDescent="0.25">
      <c r="A94" t="s">
        <v>16</v>
      </c>
      <c r="B94" s="4" t="s">
        <v>49</v>
      </c>
      <c r="C94" t="str">
        <f t="shared" si="100"/>
        <v>UKTMP-08</v>
      </c>
      <c r="D94">
        <v>2012</v>
      </c>
      <c r="E94">
        <v>50</v>
      </c>
      <c r="F94" t="str">
        <f t="shared" si="65"/>
        <v>CP</v>
      </c>
      <c r="G94" t="str">
        <f t="shared" si="66"/>
        <v>Corrosion Cp</v>
      </c>
      <c r="H94">
        <f t="shared" si="40"/>
        <v>0</v>
      </c>
      <c r="I94">
        <f t="shared" si="67"/>
        <v>2</v>
      </c>
      <c r="J94">
        <f t="shared" si="68"/>
        <v>1210</v>
      </c>
      <c r="K94">
        <f t="shared" si="69"/>
        <v>50</v>
      </c>
      <c r="L94">
        <f t="shared" si="70"/>
        <v>60.5</v>
      </c>
      <c r="M94">
        <f t="shared" si="71"/>
        <v>2.6249999999999996</v>
      </c>
      <c r="N94">
        <f t="shared" si="72"/>
        <v>2.8874999999999997</v>
      </c>
      <c r="O94" t="str">
        <f t="shared" si="73"/>
        <v>Marché 1</v>
      </c>
      <c r="P94">
        <f>VLOOKUP(O94,pxmassif,D94-2010,FALSE)*M94</f>
        <v>32.812499999999993</v>
      </c>
      <c r="Q94">
        <f>VLOOKUP(O94,pxcopeau,D94-2010,FALSE)*N94</f>
        <v>21.656249999999996</v>
      </c>
      <c r="R94" t="str">
        <f t="shared" si="74"/>
        <v>SO</v>
      </c>
      <c r="S94">
        <f t="shared" si="75"/>
        <v>0</v>
      </c>
      <c r="T94">
        <f t="shared" si="76"/>
        <v>0</v>
      </c>
      <c r="U94" t="str">
        <f t="shared" si="77"/>
        <v>Marché 1</v>
      </c>
      <c r="V94">
        <f>VLOOKUP(U94,pxmassif,$D94-2010,FALSE)*S94</f>
        <v>0</v>
      </c>
      <c r="W94">
        <f>VLOOKUP(U94,pxcopeau,$D94-2010,FALSE)*T94</f>
        <v>0</v>
      </c>
      <c r="X94" t="str">
        <f t="shared" si="78"/>
        <v>SO</v>
      </c>
      <c r="Y94">
        <f t="shared" si="79"/>
        <v>0</v>
      </c>
      <c r="Z94">
        <f t="shared" si="80"/>
        <v>0</v>
      </c>
      <c r="AA94" t="str">
        <f t="shared" si="81"/>
        <v>Marché 1</v>
      </c>
      <c r="AB94">
        <f>VLOOKUP(AA94,pxmassif,$D94-2010,FALSE)*Y94</f>
        <v>0</v>
      </c>
      <c r="AC94">
        <f>VLOOKUP(AA94,pxcopeau,$D94-2010,FALSE)*Z94</f>
        <v>0</v>
      </c>
      <c r="AD94">
        <f t="shared" si="88"/>
        <v>2.6249999999999996</v>
      </c>
      <c r="AE94">
        <f t="shared" si="89"/>
        <v>2.8874999999999997</v>
      </c>
      <c r="AF94">
        <f t="shared" si="90"/>
        <v>5.5124999999999993</v>
      </c>
      <c r="AG94">
        <f t="shared" si="91"/>
        <v>0</v>
      </c>
      <c r="AH94">
        <f t="shared" si="92"/>
        <v>0</v>
      </c>
      <c r="AI94">
        <f t="shared" si="93"/>
        <v>2.6249999999999996</v>
      </c>
      <c r="AJ94">
        <f t="shared" si="94"/>
        <v>2.8874999999999997</v>
      </c>
      <c r="AK94">
        <f t="shared" si="82"/>
        <v>5.3240249999999989</v>
      </c>
      <c r="AL94">
        <f t="shared" si="83"/>
        <v>0</v>
      </c>
      <c r="AM94">
        <f>IFERROR(MIN(AL94,VLOOKUP(CONCATENATE(C94,"-to lingot"),negchutes,D94-2007,FALSE)),0)</f>
        <v>0</v>
      </c>
      <c r="AN94">
        <f t="shared" si="95"/>
        <v>0</v>
      </c>
      <c r="AO94" t="str">
        <f t="shared" si="96"/>
        <v>SO</v>
      </c>
      <c r="AP94">
        <f>IF(AR94=0,0,IFERROR(VLOOKUP(CONCATENATE($C94,"-to massif"),negchutes,$D94-2007,FALSE),0)*AM94/AR94)</f>
        <v>0</v>
      </c>
      <c r="AQ94">
        <f>IF(AR94=0,0,IFERROR(VLOOKUP(CONCATENATE($C94,"-to copeaux"),negchutes,$D94-2007,FALSE),0)*AM94/AR94)</f>
        <v>0</v>
      </c>
      <c r="AR94">
        <f>IFERROR(VLOOKUP(CONCATENATE($C94,"-to lingot"),negchutes,$D94-2007,FALSE),0)</f>
        <v>0</v>
      </c>
      <c r="AS94">
        <f>IF(AR94=0,0,AP94*VLOOKUP(CONCATENATE($C94,"-ac massif"),negchutes,$D94-2007,FALSE))</f>
        <v>0</v>
      </c>
      <c r="AT94">
        <f>IF(AR94=0,0,AQ94*VLOOKUP(CONCATENATE($C94,"-ac copeaux"),negchutes,$D94-2007,FALSE))</f>
        <v>0</v>
      </c>
      <c r="AU94">
        <f t="shared" si="84"/>
        <v>0</v>
      </c>
      <c r="AV94">
        <f>IFERROR(VLOOKUP(CONCATENATE(C94,"-px lingot"),negchutes,D94-2007,FALSE),0)*AM94</f>
        <v>0</v>
      </c>
      <c r="AW94">
        <f>AN94*VLOOKUP("Marché 1",pxlingot,D94-2010,FALSE)</f>
        <v>0</v>
      </c>
      <c r="AX94">
        <f t="shared" si="97"/>
        <v>0</v>
      </c>
      <c r="AY94" t="str">
        <f t="shared" si="85"/>
        <v>Non Refondu</v>
      </c>
      <c r="AZ94">
        <f t="shared" si="86"/>
        <v>5.3240249999999989</v>
      </c>
      <c r="BA94">
        <f>MAX(VLOOKUP(VLOOKUP(C94,descmarche,28,FALSE),pxlingot,D94-2010,FALSE),AX94)</f>
        <v>0</v>
      </c>
      <c r="BB94">
        <f t="shared" si="98"/>
        <v>0</v>
      </c>
      <c r="BC94" t="str">
        <f t="shared" si="87"/>
        <v>SO</v>
      </c>
    </row>
    <row r="95" spans="1:55" x14ac:dyDescent="0.25">
      <c r="A95" t="s">
        <v>16</v>
      </c>
      <c r="B95" s="4" t="s">
        <v>49</v>
      </c>
      <c r="C95" t="str">
        <f t="shared" si="100"/>
        <v>UKTMP-08</v>
      </c>
      <c r="D95">
        <v>2013</v>
      </c>
      <c r="E95">
        <v>100</v>
      </c>
      <c r="F95" t="str">
        <f t="shared" si="65"/>
        <v>CP</v>
      </c>
      <c r="G95" t="str">
        <f t="shared" si="66"/>
        <v>Corrosion Cp</v>
      </c>
      <c r="H95">
        <f t="shared" si="40"/>
        <v>0</v>
      </c>
      <c r="I95">
        <f t="shared" si="67"/>
        <v>2</v>
      </c>
      <c r="J95">
        <f t="shared" si="68"/>
        <v>1210</v>
      </c>
      <c r="K95">
        <f t="shared" si="69"/>
        <v>100</v>
      </c>
      <c r="L95">
        <f t="shared" si="70"/>
        <v>121</v>
      </c>
      <c r="M95">
        <f t="shared" si="71"/>
        <v>5.2499999999999991</v>
      </c>
      <c r="N95">
        <f t="shared" si="72"/>
        <v>5.7749999999999995</v>
      </c>
      <c r="O95" t="str">
        <f t="shared" si="73"/>
        <v>Marché 1</v>
      </c>
      <c r="P95">
        <f>VLOOKUP(O95,pxmassif,D95-2010,FALSE)*M95</f>
        <v>65.624999999999986</v>
      </c>
      <c r="Q95">
        <f>VLOOKUP(O95,pxcopeau,D95-2010,FALSE)*N95</f>
        <v>43.312499999999993</v>
      </c>
      <c r="R95" t="str">
        <f t="shared" si="74"/>
        <v>SO</v>
      </c>
      <c r="S95">
        <f t="shared" si="75"/>
        <v>0</v>
      </c>
      <c r="T95">
        <f t="shared" si="76"/>
        <v>0</v>
      </c>
      <c r="U95" t="str">
        <f t="shared" si="77"/>
        <v>Marché 1</v>
      </c>
      <c r="V95">
        <f>VLOOKUP(U95,pxmassif,$D95-2010,FALSE)*S95</f>
        <v>0</v>
      </c>
      <c r="W95">
        <f>VLOOKUP(U95,pxcopeau,$D95-2010,FALSE)*T95</f>
        <v>0</v>
      </c>
      <c r="X95" t="str">
        <f t="shared" si="78"/>
        <v>SO</v>
      </c>
      <c r="Y95">
        <f t="shared" si="79"/>
        <v>0</v>
      </c>
      <c r="Z95">
        <f t="shared" si="80"/>
        <v>0</v>
      </c>
      <c r="AA95" t="str">
        <f t="shared" si="81"/>
        <v>Marché 1</v>
      </c>
      <c r="AB95">
        <f>VLOOKUP(AA95,pxmassif,$D95-2010,FALSE)*Y95</f>
        <v>0</v>
      </c>
      <c r="AC95">
        <f>VLOOKUP(AA95,pxcopeau,$D95-2010,FALSE)*Z95</f>
        <v>0</v>
      </c>
      <c r="AD95">
        <f t="shared" si="88"/>
        <v>5.2499999999999991</v>
      </c>
      <c r="AE95">
        <f t="shared" si="89"/>
        <v>5.7749999999999995</v>
      </c>
      <c r="AF95">
        <f t="shared" si="90"/>
        <v>11.024999999999999</v>
      </c>
      <c r="AG95">
        <f t="shared" si="91"/>
        <v>0</v>
      </c>
      <c r="AH95">
        <f t="shared" si="92"/>
        <v>0</v>
      </c>
      <c r="AI95">
        <f t="shared" si="93"/>
        <v>5.2499999999999991</v>
      </c>
      <c r="AJ95">
        <f t="shared" si="94"/>
        <v>5.7749999999999995</v>
      </c>
      <c r="AK95">
        <f t="shared" si="82"/>
        <v>10.648049999999998</v>
      </c>
      <c r="AL95">
        <f t="shared" si="83"/>
        <v>0</v>
      </c>
      <c r="AM95">
        <f>IFERROR(MIN(AL95,VLOOKUP(CONCATENATE(C95,"-to lingot"),negchutes,D95-2007,FALSE)),0)</f>
        <v>0</v>
      </c>
      <c r="AN95">
        <f t="shared" si="95"/>
        <v>0</v>
      </c>
      <c r="AO95" t="str">
        <f t="shared" si="96"/>
        <v>SO</v>
      </c>
      <c r="AP95">
        <f>IF(AR95=0,0,IFERROR(VLOOKUP(CONCATENATE($C95,"-to massif"),negchutes,$D95-2007,FALSE),0)*AM95/AR95)</f>
        <v>0</v>
      </c>
      <c r="AQ95">
        <f>IF(AR95=0,0,IFERROR(VLOOKUP(CONCATENATE($C95,"-to copeaux"),negchutes,$D95-2007,FALSE),0)*AM95/AR95)</f>
        <v>0</v>
      </c>
      <c r="AR95">
        <f>IFERROR(VLOOKUP(CONCATENATE($C95,"-to lingot"),negchutes,$D95-2007,FALSE),0)</f>
        <v>0</v>
      </c>
      <c r="AS95">
        <f>IF(AR95=0,0,AP95*VLOOKUP(CONCATENATE($C95,"-ac massif"),negchutes,$D95-2007,FALSE))</f>
        <v>0</v>
      </c>
      <c r="AT95">
        <f>IF(AR95=0,0,AQ95*VLOOKUP(CONCATENATE($C95,"-ac copeaux"),negchutes,$D95-2007,FALSE))</f>
        <v>0</v>
      </c>
      <c r="AU95">
        <f t="shared" si="84"/>
        <v>0</v>
      </c>
      <c r="AV95">
        <f>IFERROR(VLOOKUP(CONCATENATE(C95,"-px lingot"),negchutes,D95-2007,FALSE),0)*AM95</f>
        <v>0</v>
      </c>
      <c r="AW95">
        <f>AN95*VLOOKUP("Marché 1",pxlingot,D95-2010,FALSE)</f>
        <v>0</v>
      </c>
      <c r="AX95">
        <f t="shared" si="97"/>
        <v>0</v>
      </c>
      <c r="AY95" t="str">
        <f t="shared" si="85"/>
        <v>Non Refondu</v>
      </c>
      <c r="AZ95">
        <f t="shared" si="86"/>
        <v>10.648049999999998</v>
      </c>
      <c r="BA95">
        <f>MAX(VLOOKUP(VLOOKUP(C95,descmarche,28,FALSE),pxlingot,D95-2010,FALSE),AX95)</f>
        <v>0</v>
      </c>
      <c r="BB95">
        <f t="shared" si="98"/>
        <v>0</v>
      </c>
      <c r="BC95" t="str">
        <f t="shared" si="87"/>
        <v>SO</v>
      </c>
    </row>
    <row r="96" spans="1:55" x14ac:dyDescent="0.25">
      <c r="A96" t="s">
        <v>16</v>
      </c>
      <c r="B96" s="4" t="s">
        <v>49</v>
      </c>
      <c r="C96" t="str">
        <f t="shared" ref="C96:C159" si="101">CONCATENATE(A96,"-",B96)</f>
        <v>UKTMP-08</v>
      </c>
      <c r="D96">
        <v>2014</v>
      </c>
      <c r="E96">
        <v>150</v>
      </c>
      <c r="F96" t="str">
        <f t="shared" si="65"/>
        <v>CP</v>
      </c>
      <c r="G96" t="str">
        <f t="shared" si="66"/>
        <v>Corrosion Cp</v>
      </c>
      <c r="H96">
        <f t="shared" si="40"/>
        <v>0</v>
      </c>
      <c r="I96">
        <f t="shared" si="67"/>
        <v>2</v>
      </c>
      <c r="J96">
        <f t="shared" si="68"/>
        <v>1210</v>
      </c>
      <c r="K96">
        <f t="shared" si="69"/>
        <v>150</v>
      </c>
      <c r="L96">
        <f t="shared" si="70"/>
        <v>181.5</v>
      </c>
      <c r="M96">
        <f t="shared" si="71"/>
        <v>7.8749999999999982</v>
      </c>
      <c r="N96">
        <f t="shared" si="72"/>
        <v>8.6624999999999996</v>
      </c>
      <c r="O96" t="str">
        <f t="shared" si="73"/>
        <v>Marché 1</v>
      </c>
      <c r="P96">
        <f>VLOOKUP(O96,pxmassif,D96-2010,FALSE)*M96</f>
        <v>98.437499999999972</v>
      </c>
      <c r="Q96">
        <f>VLOOKUP(O96,pxcopeau,D96-2010,FALSE)*N96</f>
        <v>64.96875</v>
      </c>
      <c r="R96" t="str">
        <f t="shared" si="74"/>
        <v>SO</v>
      </c>
      <c r="S96">
        <f t="shared" si="75"/>
        <v>0</v>
      </c>
      <c r="T96">
        <f t="shared" si="76"/>
        <v>0</v>
      </c>
      <c r="U96" t="str">
        <f t="shared" si="77"/>
        <v>Marché 1</v>
      </c>
      <c r="V96">
        <f>VLOOKUP(U96,pxmassif,$D96-2010,FALSE)*S96</f>
        <v>0</v>
      </c>
      <c r="W96">
        <f>VLOOKUP(U96,pxcopeau,$D96-2010,FALSE)*T96</f>
        <v>0</v>
      </c>
      <c r="X96" t="str">
        <f t="shared" si="78"/>
        <v>SO</v>
      </c>
      <c r="Y96">
        <f t="shared" si="79"/>
        <v>0</v>
      </c>
      <c r="Z96">
        <f t="shared" si="80"/>
        <v>0</v>
      </c>
      <c r="AA96" t="str">
        <f t="shared" si="81"/>
        <v>Marché 1</v>
      </c>
      <c r="AB96">
        <f>VLOOKUP(AA96,pxmassif,$D96-2010,FALSE)*Y96</f>
        <v>0</v>
      </c>
      <c r="AC96">
        <f>VLOOKUP(AA96,pxcopeau,$D96-2010,FALSE)*Z96</f>
        <v>0</v>
      </c>
      <c r="AD96">
        <f t="shared" si="88"/>
        <v>7.8749999999999982</v>
      </c>
      <c r="AE96">
        <f t="shared" si="89"/>
        <v>8.6624999999999996</v>
      </c>
      <c r="AF96">
        <f t="shared" si="90"/>
        <v>16.537499999999998</v>
      </c>
      <c r="AG96">
        <f t="shared" si="91"/>
        <v>0</v>
      </c>
      <c r="AH96">
        <f t="shared" si="92"/>
        <v>0</v>
      </c>
      <c r="AI96">
        <f t="shared" si="93"/>
        <v>7.8749999999999982</v>
      </c>
      <c r="AJ96">
        <f t="shared" si="94"/>
        <v>8.6624999999999996</v>
      </c>
      <c r="AK96">
        <f t="shared" si="82"/>
        <v>15.972074999999997</v>
      </c>
      <c r="AL96">
        <f t="shared" si="83"/>
        <v>0</v>
      </c>
      <c r="AM96">
        <f>IFERROR(MIN(AL96,VLOOKUP(CONCATENATE(C96,"-to lingot"),negchutes,D96-2007,FALSE)),0)</f>
        <v>0</v>
      </c>
      <c r="AN96">
        <f t="shared" si="95"/>
        <v>0</v>
      </c>
      <c r="AO96" t="str">
        <f t="shared" si="96"/>
        <v>SO</v>
      </c>
      <c r="AP96">
        <f>IF(AR96=0,0,IFERROR(VLOOKUP(CONCATENATE($C96,"-to massif"),negchutes,$D96-2007,FALSE),0)*AM96/AR96)</f>
        <v>0</v>
      </c>
      <c r="AQ96">
        <f>IF(AR96=0,0,IFERROR(VLOOKUP(CONCATENATE($C96,"-to copeaux"),negchutes,$D96-2007,FALSE),0)*AM96/AR96)</f>
        <v>0</v>
      </c>
      <c r="AR96">
        <f>IFERROR(VLOOKUP(CONCATENATE($C96,"-to lingot"),negchutes,$D96-2007,FALSE),0)</f>
        <v>0</v>
      </c>
      <c r="AS96">
        <f>IF(AR96=0,0,AP96*VLOOKUP(CONCATENATE($C96,"-ac massif"),negchutes,$D96-2007,FALSE))</f>
        <v>0</v>
      </c>
      <c r="AT96">
        <f>IF(AR96=0,0,AQ96*VLOOKUP(CONCATENATE($C96,"-ac copeaux"),negchutes,$D96-2007,FALSE))</f>
        <v>0</v>
      </c>
      <c r="AU96">
        <f t="shared" si="84"/>
        <v>0</v>
      </c>
      <c r="AV96">
        <f>IFERROR(VLOOKUP(CONCATENATE(C96,"-px lingot"),negchutes,D96-2007,FALSE),0)*AM96</f>
        <v>0</v>
      </c>
      <c r="AW96">
        <f>AN96*VLOOKUP("Marché 1",pxlingot,D96-2010,FALSE)</f>
        <v>0</v>
      </c>
      <c r="AX96">
        <f t="shared" si="97"/>
        <v>0</v>
      </c>
      <c r="AY96" t="str">
        <f t="shared" si="85"/>
        <v>Non Refondu</v>
      </c>
      <c r="AZ96">
        <f t="shared" si="86"/>
        <v>15.972074999999997</v>
      </c>
      <c r="BA96">
        <f>MAX(VLOOKUP(VLOOKUP(C96,descmarche,28,FALSE),pxlingot,D96-2010,FALSE),AX96)</f>
        <v>0</v>
      </c>
      <c r="BB96">
        <f t="shared" si="98"/>
        <v>0</v>
      </c>
      <c r="BC96" t="str">
        <f t="shared" si="87"/>
        <v>SO</v>
      </c>
    </row>
    <row r="97" spans="1:55" x14ac:dyDescent="0.25">
      <c r="A97" t="s">
        <v>16</v>
      </c>
      <c r="B97" s="4" t="s">
        <v>49</v>
      </c>
      <c r="C97" t="str">
        <f t="shared" si="101"/>
        <v>UKTMP-08</v>
      </c>
      <c r="D97">
        <v>2015</v>
      </c>
      <c r="E97">
        <v>200</v>
      </c>
      <c r="F97" t="str">
        <f t="shared" si="65"/>
        <v>CP</v>
      </c>
      <c r="G97" t="str">
        <f t="shared" si="66"/>
        <v>Corrosion Cp</v>
      </c>
      <c r="H97">
        <f t="shared" si="40"/>
        <v>0</v>
      </c>
      <c r="I97">
        <f t="shared" si="67"/>
        <v>2</v>
      </c>
      <c r="J97">
        <f t="shared" si="68"/>
        <v>1210</v>
      </c>
      <c r="K97">
        <f t="shared" si="69"/>
        <v>200</v>
      </c>
      <c r="L97">
        <f t="shared" si="70"/>
        <v>242</v>
      </c>
      <c r="M97">
        <f t="shared" si="71"/>
        <v>10.499999999999998</v>
      </c>
      <c r="N97">
        <f t="shared" si="72"/>
        <v>11.549999999999999</v>
      </c>
      <c r="O97" t="str">
        <f t="shared" si="73"/>
        <v>Marché 1</v>
      </c>
      <c r="P97">
        <f>VLOOKUP(O97,pxmassif,D97-2010,FALSE)*M97</f>
        <v>131.24999999999997</v>
      </c>
      <c r="Q97">
        <f>VLOOKUP(O97,pxcopeau,D97-2010,FALSE)*N97</f>
        <v>86.624999999999986</v>
      </c>
      <c r="R97" t="str">
        <f t="shared" si="74"/>
        <v>SO</v>
      </c>
      <c r="S97">
        <f t="shared" si="75"/>
        <v>0</v>
      </c>
      <c r="T97">
        <f t="shared" si="76"/>
        <v>0</v>
      </c>
      <c r="U97" t="str">
        <f t="shared" si="77"/>
        <v>Marché 1</v>
      </c>
      <c r="V97">
        <f>VLOOKUP(U97,pxmassif,$D97-2010,FALSE)*S97</f>
        <v>0</v>
      </c>
      <c r="W97">
        <f>VLOOKUP(U97,pxcopeau,$D97-2010,FALSE)*T97</f>
        <v>0</v>
      </c>
      <c r="X97" t="str">
        <f t="shared" si="78"/>
        <v>SO</v>
      </c>
      <c r="Y97">
        <f t="shared" si="79"/>
        <v>0</v>
      </c>
      <c r="Z97">
        <f t="shared" si="80"/>
        <v>0</v>
      </c>
      <c r="AA97" t="str">
        <f t="shared" si="81"/>
        <v>Marché 1</v>
      </c>
      <c r="AB97">
        <f>VLOOKUP(AA97,pxmassif,$D97-2010,FALSE)*Y97</f>
        <v>0</v>
      </c>
      <c r="AC97">
        <f>VLOOKUP(AA97,pxcopeau,$D97-2010,FALSE)*Z97</f>
        <v>0</v>
      </c>
      <c r="AD97">
        <f t="shared" si="88"/>
        <v>10.499999999999998</v>
      </c>
      <c r="AE97">
        <f t="shared" si="89"/>
        <v>11.549999999999999</v>
      </c>
      <c r="AF97">
        <f t="shared" si="90"/>
        <v>22.049999999999997</v>
      </c>
      <c r="AG97">
        <f t="shared" si="91"/>
        <v>0</v>
      </c>
      <c r="AH97">
        <f t="shared" si="92"/>
        <v>0</v>
      </c>
      <c r="AI97">
        <f t="shared" si="93"/>
        <v>10.499999999999998</v>
      </c>
      <c r="AJ97">
        <f t="shared" si="94"/>
        <v>11.549999999999999</v>
      </c>
      <c r="AK97">
        <f t="shared" si="82"/>
        <v>21.296099999999996</v>
      </c>
      <c r="AL97">
        <f t="shared" si="83"/>
        <v>0</v>
      </c>
      <c r="AM97">
        <f>IFERROR(MIN(AL97,VLOOKUP(CONCATENATE(C97,"-to lingot"),negchutes,D97-2007,FALSE)),0)</f>
        <v>0</v>
      </c>
      <c r="AN97">
        <f t="shared" si="95"/>
        <v>0</v>
      </c>
      <c r="AO97" t="str">
        <f t="shared" si="96"/>
        <v>SO</v>
      </c>
      <c r="AP97">
        <f>IF(AR97=0,0,IFERROR(VLOOKUP(CONCATENATE($C97,"-to massif"),negchutes,$D97-2007,FALSE),0)*AM97/AR97)</f>
        <v>0</v>
      </c>
      <c r="AQ97">
        <f>IF(AR97=0,0,IFERROR(VLOOKUP(CONCATENATE($C97,"-to copeaux"),negchutes,$D97-2007,FALSE),0)*AM97/AR97)</f>
        <v>0</v>
      </c>
      <c r="AR97">
        <f>IFERROR(VLOOKUP(CONCATENATE($C97,"-to lingot"),negchutes,$D97-2007,FALSE),0)</f>
        <v>0</v>
      </c>
      <c r="AS97">
        <f>IF(AR97=0,0,AP97*VLOOKUP(CONCATENATE($C97,"-ac massif"),negchutes,$D97-2007,FALSE))</f>
        <v>0</v>
      </c>
      <c r="AT97">
        <f>IF(AR97=0,0,AQ97*VLOOKUP(CONCATENATE($C97,"-ac copeaux"),negchutes,$D97-2007,FALSE))</f>
        <v>0</v>
      </c>
      <c r="AU97">
        <f t="shared" si="84"/>
        <v>0</v>
      </c>
      <c r="AV97">
        <f>IFERROR(VLOOKUP(CONCATENATE(C97,"-px lingot"),negchutes,D97-2007,FALSE),0)*AM97</f>
        <v>0</v>
      </c>
      <c r="AW97">
        <f>AN97*VLOOKUP("Marché 1",pxlingot,D97-2010,FALSE)</f>
        <v>0</v>
      </c>
      <c r="AX97">
        <f t="shared" si="97"/>
        <v>0</v>
      </c>
      <c r="AY97" t="str">
        <f t="shared" si="85"/>
        <v>Non Refondu</v>
      </c>
      <c r="AZ97">
        <f t="shared" si="86"/>
        <v>21.296099999999996</v>
      </c>
      <c r="BA97">
        <f>MAX(VLOOKUP(VLOOKUP(C97,descmarche,28,FALSE),pxlingot,D97-2010,FALSE),AX97)</f>
        <v>0</v>
      </c>
      <c r="BB97">
        <f t="shared" si="98"/>
        <v>0</v>
      </c>
      <c r="BC97" t="str">
        <f t="shared" si="87"/>
        <v>SO</v>
      </c>
    </row>
    <row r="98" spans="1:55" x14ac:dyDescent="0.25">
      <c r="A98" t="s">
        <v>16</v>
      </c>
      <c r="B98" s="4" t="s">
        <v>49</v>
      </c>
      <c r="C98" t="str">
        <f t="shared" si="101"/>
        <v>UKTMP-08</v>
      </c>
      <c r="D98">
        <v>2016</v>
      </c>
      <c r="E98">
        <v>250</v>
      </c>
      <c r="F98" t="str">
        <f t="shared" si="65"/>
        <v>CP</v>
      </c>
      <c r="G98" t="str">
        <f t="shared" si="66"/>
        <v>Corrosion Cp</v>
      </c>
      <c r="H98">
        <f t="shared" si="40"/>
        <v>0</v>
      </c>
      <c r="I98">
        <f t="shared" si="67"/>
        <v>2</v>
      </c>
      <c r="J98">
        <f t="shared" si="68"/>
        <v>1210</v>
      </c>
      <c r="K98">
        <f t="shared" si="69"/>
        <v>250</v>
      </c>
      <c r="L98">
        <f t="shared" si="70"/>
        <v>302.5</v>
      </c>
      <c r="M98">
        <f t="shared" si="71"/>
        <v>13.124999999999998</v>
      </c>
      <c r="N98">
        <f t="shared" si="72"/>
        <v>14.437499999999998</v>
      </c>
      <c r="O98" t="str">
        <f t="shared" si="73"/>
        <v>Marché 1</v>
      </c>
      <c r="P98">
        <f>VLOOKUP(O98,pxmassif,D98-2010,FALSE)*M98</f>
        <v>164.06249999999997</v>
      </c>
      <c r="Q98">
        <f>VLOOKUP(O98,pxcopeau,D98-2010,FALSE)*N98</f>
        <v>108.28124999999999</v>
      </c>
      <c r="R98" t="str">
        <f t="shared" si="74"/>
        <v>SO</v>
      </c>
      <c r="S98">
        <f t="shared" si="75"/>
        <v>0</v>
      </c>
      <c r="T98">
        <f t="shared" si="76"/>
        <v>0</v>
      </c>
      <c r="U98" t="str">
        <f t="shared" si="77"/>
        <v>Marché 1</v>
      </c>
      <c r="V98">
        <f>VLOOKUP(U98,pxmassif,$D98-2010,FALSE)*S98</f>
        <v>0</v>
      </c>
      <c r="W98">
        <f>VLOOKUP(U98,pxcopeau,$D98-2010,FALSE)*T98</f>
        <v>0</v>
      </c>
      <c r="X98" t="str">
        <f t="shared" si="78"/>
        <v>SO</v>
      </c>
      <c r="Y98">
        <f t="shared" si="79"/>
        <v>0</v>
      </c>
      <c r="Z98">
        <f t="shared" si="80"/>
        <v>0</v>
      </c>
      <c r="AA98" t="str">
        <f t="shared" si="81"/>
        <v>Marché 1</v>
      </c>
      <c r="AB98">
        <f>VLOOKUP(AA98,pxmassif,$D98-2010,FALSE)*Y98</f>
        <v>0</v>
      </c>
      <c r="AC98">
        <f>VLOOKUP(AA98,pxcopeau,$D98-2010,FALSE)*Z98</f>
        <v>0</v>
      </c>
      <c r="AD98">
        <f t="shared" si="88"/>
        <v>13.124999999999998</v>
      </c>
      <c r="AE98">
        <f t="shared" si="89"/>
        <v>14.437499999999998</v>
      </c>
      <c r="AF98">
        <f t="shared" si="90"/>
        <v>27.562499999999996</v>
      </c>
      <c r="AG98">
        <f t="shared" si="91"/>
        <v>0</v>
      </c>
      <c r="AH98">
        <f t="shared" si="92"/>
        <v>0</v>
      </c>
      <c r="AI98">
        <f t="shared" si="93"/>
        <v>13.124999999999998</v>
      </c>
      <c r="AJ98">
        <f t="shared" si="94"/>
        <v>14.437499999999998</v>
      </c>
      <c r="AK98">
        <f t="shared" si="82"/>
        <v>26.620124999999994</v>
      </c>
      <c r="AL98">
        <f t="shared" si="83"/>
        <v>0</v>
      </c>
      <c r="AM98">
        <f>IFERROR(MIN(AL98,VLOOKUP(CONCATENATE(C98,"-to lingot"),negchutes,D98-2007,FALSE)),0)</f>
        <v>0</v>
      </c>
      <c r="AN98">
        <f t="shared" si="95"/>
        <v>0</v>
      </c>
      <c r="AO98" t="str">
        <f t="shared" si="96"/>
        <v>SO</v>
      </c>
      <c r="AP98">
        <f>IF(AR98=0,0,IFERROR(VLOOKUP(CONCATENATE($C98,"-to massif"),negchutes,$D98-2007,FALSE),0)*AM98/AR98)</f>
        <v>0</v>
      </c>
      <c r="AQ98">
        <f>IF(AR98=0,0,IFERROR(VLOOKUP(CONCATENATE($C98,"-to copeaux"),negchutes,$D98-2007,FALSE),0)*AM98/AR98)</f>
        <v>0</v>
      </c>
      <c r="AR98">
        <f>IFERROR(VLOOKUP(CONCATENATE($C98,"-to lingot"),negchutes,$D98-2007,FALSE),0)</f>
        <v>0</v>
      </c>
      <c r="AS98">
        <f>IF(AR98=0,0,AP98*VLOOKUP(CONCATENATE($C98,"-ac massif"),negchutes,$D98-2007,FALSE))</f>
        <v>0</v>
      </c>
      <c r="AT98">
        <f>IF(AR98=0,0,AQ98*VLOOKUP(CONCATENATE($C98,"-ac copeaux"),negchutes,$D98-2007,FALSE))</f>
        <v>0</v>
      </c>
      <c r="AU98">
        <f t="shared" si="84"/>
        <v>0</v>
      </c>
      <c r="AV98">
        <f>IFERROR(VLOOKUP(CONCATENATE(C98,"-px lingot"),negchutes,D98-2007,FALSE),0)*AM98</f>
        <v>0</v>
      </c>
      <c r="AW98">
        <f>AN98*VLOOKUP("Marché 1",pxlingot,D98-2010,FALSE)</f>
        <v>0</v>
      </c>
      <c r="AX98">
        <f t="shared" si="97"/>
        <v>0</v>
      </c>
      <c r="AY98" t="str">
        <f t="shared" si="85"/>
        <v>Non Refondu</v>
      </c>
      <c r="AZ98">
        <f t="shared" si="86"/>
        <v>26.620124999999998</v>
      </c>
      <c r="BA98">
        <f>MAX(VLOOKUP(VLOOKUP(C98,descmarche,28,FALSE),pxlingot,D98-2010,FALSE),AX98)</f>
        <v>0</v>
      </c>
      <c r="BB98">
        <f t="shared" si="98"/>
        <v>0</v>
      </c>
      <c r="BC98" t="str">
        <f t="shared" si="87"/>
        <v>SO</v>
      </c>
    </row>
    <row r="99" spans="1:55" x14ac:dyDescent="0.25">
      <c r="A99" t="s">
        <v>16</v>
      </c>
      <c r="B99" s="4" t="s">
        <v>49</v>
      </c>
      <c r="C99" t="str">
        <f t="shared" si="101"/>
        <v>UKTMP-08</v>
      </c>
      <c r="D99">
        <v>2017</v>
      </c>
      <c r="E99">
        <v>300</v>
      </c>
      <c r="F99" t="str">
        <f t="shared" si="65"/>
        <v>CP</v>
      </c>
      <c r="G99" t="str">
        <f t="shared" ref="G99:G130" si="102">VLOOKUP($C99,descmarche,5,FALSE)</f>
        <v>Corrosion Cp</v>
      </c>
      <c r="H99">
        <f t="shared" ref="H99:H162" si="103">VLOOKUP($C99,descmarche,6,FALSE)</f>
        <v>0</v>
      </c>
      <c r="I99">
        <f t="shared" ref="I99:I130" si="104">VLOOKUP($C99,descmarche,7,FALSE)</f>
        <v>2</v>
      </c>
      <c r="J99">
        <f t="shared" ref="J99:J130" si="105">VLOOKUP($C99,descmarche,9,FALSE)*1000</f>
        <v>1210</v>
      </c>
      <c r="K99">
        <f t="shared" ref="K99:K133" si="106">VLOOKUP($C99,descmarche,10,FALSE)*$E99</f>
        <v>300</v>
      </c>
      <c r="L99">
        <f t="shared" ref="L99:L130" si="107">VLOOKUP($C99,descmarche,11,FALSE)*$E99</f>
        <v>363</v>
      </c>
      <c r="M99">
        <f t="shared" ref="M99:M130" si="108">VLOOKUP($C99,descmarche,12,FALSE)*$E99*VLOOKUP("UKAD",recupchute,2,FALSE)</f>
        <v>15.749999999999996</v>
      </c>
      <c r="N99">
        <f t="shared" ref="N99:N130" si="109">VLOOKUP($C99,descmarche,13,FALSE)*$E99*VLOOKUP("UKAD",recupchute,3,FALSE)</f>
        <v>17.324999999999999</v>
      </c>
      <c r="O99" t="str">
        <f t="shared" ref="O99:O130" si="110">VLOOKUP($C99,descmarche,14,FALSE)</f>
        <v>Marché 1</v>
      </c>
      <c r="P99">
        <f>VLOOKUP(O99,pxmassif,D99-2010,FALSE)*M99</f>
        <v>196.87499999999994</v>
      </c>
      <c r="Q99">
        <f>VLOOKUP(O99,pxcopeau,D99-2010,FALSE)*N99</f>
        <v>129.9375</v>
      </c>
      <c r="R99" t="str">
        <f t="shared" ref="R99:R130" si="111">VLOOKUP(C99,descmarche,22,FALSE)</f>
        <v>SO</v>
      </c>
      <c r="S99">
        <f t="shared" ref="S99:S130" si="112">VLOOKUP($C99,descmarche,15,FALSE)*$E99*VLOOKUP(R99,recupchute,2,FALSE)</f>
        <v>0</v>
      </c>
      <c r="T99">
        <f t="shared" ref="T99:T130" si="113">VLOOKUP($C99,descmarche,16,FALSE)*$E99*VLOOKUP(R99,recupchute,3,FALSE)</f>
        <v>0</v>
      </c>
      <c r="U99" t="str">
        <f t="shared" ref="U99:U130" si="114">VLOOKUP($C99,descmarche,17,FALSE)</f>
        <v>Marché 1</v>
      </c>
      <c r="V99">
        <f>VLOOKUP(U99,pxmassif,$D99-2010,FALSE)*S99</f>
        <v>0</v>
      </c>
      <c r="W99">
        <f>VLOOKUP(U99,pxcopeau,$D99-2010,FALSE)*T99</f>
        <v>0</v>
      </c>
      <c r="X99" t="str">
        <f t="shared" ref="X99:X130" si="115">VLOOKUP(C99,descmarche,23,FALSE)</f>
        <v>SO</v>
      </c>
      <c r="Y99">
        <f t="shared" ref="Y99:Y130" si="116">VLOOKUP($C99,descmarche,18,FALSE)*$E99*VLOOKUP(X99,recupchute,2,FALSE)</f>
        <v>0</v>
      </c>
      <c r="Z99">
        <f t="shared" ref="Z99:Z130" si="117">VLOOKUP($C99,descmarche,19,FALSE)*$E99*VLOOKUP(X99,recupchute,3,FALSE)</f>
        <v>0</v>
      </c>
      <c r="AA99" t="str">
        <f t="shared" ref="AA99:AA130" si="118">VLOOKUP($C99,descmarche,20,FALSE)</f>
        <v>Marché 1</v>
      </c>
      <c r="AB99">
        <f>VLOOKUP(AA99,pxmassif,$D99-2010,FALSE)*Y99</f>
        <v>0</v>
      </c>
      <c r="AC99">
        <f>VLOOKUP(AA99,pxcopeau,$D99-2010,FALSE)*Z99</f>
        <v>0</v>
      </c>
      <c r="AD99">
        <f t="shared" si="88"/>
        <v>15.749999999999996</v>
      </c>
      <c r="AE99">
        <f t="shared" si="89"/>
        <v>17.324999999999999</v>
      </c>
      <c r="AF99">
        <f t="shared" si="90"/>
        <v>33.074999999999996</v>
      </c>
      <c r="AG99">
        <f t="shared" si="91"/>
        <v>0</v>
      </c>
      <c r="AH99">
        <f t="shared" si="92"/>
        <v>0</v>
      </c>
      <c r="AI99">
        <f t="shared" si="93"/>
        <v>15.749999999999996</v>
      </c>
      <c r="AJ99">
        <f t="shared" si="94"/>
        <v>17.324999999999999</v>
      </c>
      <c r="AK99">
        <f t="shared" ref="AK99:AK130" si="119">VLOOKUP(C99,descmarche,26,FALSE)*E99</f>
        <v>31.944149999999993</v>
      </c>
      <c r="AL99">
        <f t="shared" ref="AL99:AL130" si="120">IF(A99="EcoTI",VLOOKUP(C99,descmarche,27,FALSE)*E99,0)</f>
        <v>0</v>
      </c>
      <c r="AM99">
        <f>IFERROR(MIN(AL99,VLOOKUP(CONCATENATE(C99,"-to lingot"),negchutes,D99-2007,FALSE)),0)</f>
        <v>0</v>
      </c>
      <c r="AN99">
        <f t="shared" si="95"/>
        <v>0</v>
      </c>
      <c r="AO99" t="str">
        <f t="shared" si="96"/>
        <v>SO</v>
      </c>
      <c r="AP99">
        <f>IF(AR99=0,0,IFERROR(VLOOKUP(CONCATENATE($C99,"-to massif"),negchutes,$D99-2007,FALSE),0)*AM99/AR99)</f>
        <v>0</v>
      </c>
      <c r="AQ99">
        <f>IF(AR99=0,0,IFERROR(VLOOKUP(CONCATENATE($C99,"-to copeaux"),negchutes,$D99-2007,FALSE),0)*AM99/AR99)</f>
        <v>0</v>
      </c>
      <c r="AR99">
        <f>IFERROR(VLOOKUP(CONCATENATE($C99,"-to lingot"),negchutes,$D99-2007,FALSE),0)</f>
        <v>0</v>
      </c>
      <c r="AS99">
        <f>IF(AR99=0,0,AP99*VLOOKUP(CONCATENATE($C99,"-ac massif"),negchutes,$D99-2007,FALSE))</f>
        <v>0</v>
      </c>
      <c r="AT99">
        <f>IF(AR99=0,0,AQ99*VLOOKUP(CONCATENATE($C99,"-ac copeaux"),negchutes,$D99-2007,FALSE))</f>
        <v>0</v>
      </c>
      <c r="AU99">
        <f t="shared" ref="AU99:AU130" si="121">AK99*VLOOKUP(AO99,pxlingot,D99-2010,FALSE)</f>
        <v>0</v>
      </c>
      <c r="AV99">
        <f>IFERROR(VLOOKUP(CONCATENATE(C99,"-px lingot"),negchutes,D99-2007,FALSE),0)*AM99</f>
        <v>0</v>
      </c>
      <c r="AW99">
        <f>AN99*VLOOKUP("Marché 1",pxlingot,D99-2010,FALSE)</f>
        <v>0</v>
      </c>
      <c r="AX99">
        <f t="shared" si="97"/>
        <v>0</v>
      </c>
      <c r="AY99" t="str">
        <f t="shared" ref="AY99:AY130" si="122">VLOOKUP(C99,descmarche,21,FALSE)</f>
        <v>Non Refondu</v>
      </c>
      <c r="AZ99">
        <f t="shared" ref="AZ99:AZ130" si="123">M99*VLOOKUP(AY99,convchutes,2,FALSE)+N99*VLOOKUP(AY99,convchutes,3,FALSE)</f>
        <v>31.944149999999993</v>
      </c>
      <c r="BA99">
        <f>MAX(VLOOKUP(VLOOKUP(C99,descmarche,28,FALSE),pxlingot,D99-2010,FALSE),AX99)</f>
        <v>0</v>
      </c>
      <c r="BB99">
        <f t="shared" si="98"/>
        <v>0</v>
      </c>
      <c r="BC99" t="str">
        <f t="shared" ref="BC99:BC130" si="124">VLOOKUP(C99,descmarche,28,FALSE)</f>
        <v>SO</v>
      </c>
    </row>
    <row r="100" spans="1:55" x14ac:dyDescent="0.25">
      <c r="A100" t="s">
        <v>16</v>
      </c>
      <c r="B100" s="4" t="s">
        <v>49</v>
      </c>
      <c r="C100" t="str">
        <f t="shared" si="101"/>
        <v>UKTMP-08</v>
      </c>
      <c r="D100">
        <v>2018</v>
      </c>
      <c r="E100">
        <v>400</v>
      </c>
      <c r="F100" t="str">
        <f t="shared" si="65"/>
        <v>CP</v>
      </c>
      <c r="G100" t="str">
        <f t="shared" si="102"/>
        <v>Corrosion Cp</v>
      </c>
      <c r="H100">
        <f t="shared" si="103"/>
        <v>0</v>
      </c>
      <c r="I100">
        <f t="shared" si="104"/>
        <v>2</v>
      </c>
      <c r="J100">
        <f t="shared" si="105"/>
        <v>1210</v>
      </c>
      <c r="K100">
        <f t="shared" si="106"/>
        <v>400</v>
      </c>
      <c r="L100">
        <f t="shared" si="107"/>
        <v>484</v>
      </c>
      <c r="M100">
        <f t="shared" si="108"/>
        <v>20.999999999999996</v>
      </c>
      <c r="N100">
        <f t="shared" si="109"/>
        <v>23.099999999999998</v>
      </c>
      <c r="O100" t="str">
        <f t="shared" si="110"/>
        <v>Marché 1</v>
      </c>
      <c r="P100">
        <f>VLOOKUP(O100,pxmassif,D100-2010,FALSE)*M100</f>
        <v>262.49999999999994</v>
      </c>
      <c r="Q100">
        <f>VLOOKUP(O100,pxcopeau,D100-2010,FALSE)*N100</f>
        <v>173.24999999999997</v>
      </c>
      <c r="R100" t="str">
        <f t="shared" si="111"/>
        <v>SO</v>
      </c>
      <c r="S100">
        <f t="shared" si="112"/>
        <v>0</v>
      </c>
      <c r="T100">
        <f t="shared" si="113"/>
        <v>0</v>
      </c>
      <c r="U100" t="str">
        <f t="shared" si="114"/>
        <v>Marché 1</v>
      </c>
      <c r="V100">
        <f>VLOOKUP(U100,pxmassif,$D100-2010,FALSE)*S100</f>
        <v>0</v>
      </c>
      <c r="W100">
        <f>VLOOKUP(U100,pxcopeau,$D100-2010,FALSE)*T100</f>
        <v>0</v>
      </c>
      <c r="X100" t="str">
        <f t="shared" si="115"/>
        <v>SO</v>
      </c>
      <c r="Y100">
        <f t="shared" si="116"/>
        <v>0</v>
      </c>
      <c r="Z100">
        <f t="shared" si="117"/>
        <v>0</v>
      </c>
      <c r="AA100" t="str">
        <f t="shared" si="118"/>
        <v>Marché 1</v>
      </c>
      <c r="AB100">
        <f>VLOOKUP(AA100,pxmassif,$D100-2010,FALSE)*Y100</f>
        <v>0</v>
      </c>
      <c r="AC100">
        <f>VLOOKUP(AA100,pxcopeau,$D100-2010,FALSE)*Z100</f>
        <v>0</v>
      </c>
      <c r="AD100">
        <f t="shared" si="88"/>
        <v>20.999999999999996</v>
      </c>
      <c r="AE100">
        <f t="shared" si="89"/>
        <v>23.099999999999998</v>
      </c>
      <c r="AF100">
        <f t="shared" si="90"/>
        <v>44.099999999999994</v>
      </c>
      <c r="AG100">
        <f t="shared" si="91"/>
        <v>0</v>
      </c>
      <c r="AH100">
        <f t="shared" si="92"/>
        <v>0</v>
      </c>
      <c r="AI100">
        <f t="shared" si="93"/>
        <v>20.999999999999996</v>
      </c>
      <c r="AJ100">
        <f t="shared" si="94"/>
        <v>23.099999999999998</v>
      </c>
      <c r="AK100">
        <f t="shared" si="119"/>
        <v>42.592199999999991</v>
      </c>
      <c r="AL100">
        <f t="shared" si="120"/>
        <v>0</v>
      </c>
      <c r="AM100">
        <f>IFERROR(MIN(AL100,VLOOKUP(CONCATENATE(C100,"-to lingot"),negchutes,D100-2007,FALSE)),0)</f>
        <v>0</v>
      </c>
      <c r="AN100">
        <f t="shared" si="95"/>
        <v>0</v>
      </c>
      <c r="AO100" t="str">
        <f t="shared" ref="AO100:AO131" si="125">VLOOKUP(C100,descmarche,28,FALSE)</f>
        <v>SO</v>
      </c>
      <c r="AP100">
        <f>IF(AR100=0,0,IFERROR(VLOOKUP(CONCATENATE($C100,"-to massif"),negchutes,$D100-2007,FALSE),0)*AM100/AR100)</f>
        <v>0</v>
      </c>
      <c r="AQ100">
        <f>IF(AR100=0,0,IFERROR(VLOOKUP(CONCATENATE($C100,"-to copeaux"),negchutes,$D100-2007,FALSE),0)*AM100/AR100)</f>
        <v>0</v>
      </c>
      <c r="AR100">
        <f>IFERROR(VLOOKUP(CONCATENATE($C100,"-to lingot"),negchutes,$D100-2007,FALSE),0)</f>
        <v>0</v>
      </c>
      <c r="AS100">
        <f>IF(AR100=0,0,AP100*VLOOKUP(CONCATENATE($C100,"-ac massif"),negchutes,$D100-2007,FALSE))</f>
        <v>0</v>
      </c>
      <c r="AT100">
        <f>IF(AR100=0,0,AQ100*VLOOKUP(CONCATENATE($C100,"-ac copeaux"),negchutes,$D100-2007,FALSE))</f>
        <v>0</v>
      </c>
      <c r="AU100">
        <f t="shared" si="121"/>
        <v>0</v>
      </c>
      <c r="AV100">
        <f>IFERROR(VLOOKUP(CONCATENATE(C100,"-px lingot"),negchutes,D100-2007,FALSE),0)*AM100</f>
        <v>0</v>
      </c>
      <c r="AW100">
        <f>AN100*VLOOKUP("Marché 1",pxlingot,D100-2010,FALSE)</f>
        <v>0</v>
      </c>
      <c r="AX100">
        <f t="shared" si="97"/>
        <v>0</v>
      </c>
      <c r="AY100" t="str">
        <f t="shared" si="122"/>
        <v>Non Refondu</v>
      </c>
      <c r="AZ100">
        <f t="shared" si="123"/>
        <v>42.592199999999991</v>
      </c>
      <c r="BA100">
        <f>MAX(VLOOKUP(VLOOKUP(C100,descmarche,28,FALSE),pxlingot,D100-2010,FALSE),AX100)</f>
        <v>0</v>
      </c>
      <c r="BB100">
        <f t="shared" si="98"/>
        <v>0</v>
      </c>
      <c r="BC100" t="str">
        <f t="shared" si="124"/>
        <v>SO</v>
      </c>
    </row>
    <row r="101" spans="1:55" x14ac:dyDescent="0.25">
      <c r="A101" t="s">
        <v>16</v>
      </c>
      <c r="B101" s="4" t="s">
        <v>49</v>
      </c>
      <c r="C101" t="str">
        <f t="shared" si="101"/>
        <v>UKTMP-08</v>
      </c>
      <c r="D101">
        <v>2019</v>
      </c>
      <c r="E101">
        <v>800</v>
      </c>
      <c r="F101" t="str">
        <f t="shared" si="65"/>
        <v>CP</v>
      </c>
      <c r="G101" t="str">
        <f t="shared" si="102"/>
        <v>Corrosion Cp</v>
      </c>
      <c r="H101">
        <f t="shared" si="103"/>
        <v>0</v>
      </c>
      <c r="I101">
        <f t="shared" si="104"/>
        <v>2</v>
      </c>
      <c r="J101">
        <f t="shared" si="105"/>
        <v>1210</v>
      </c>
      <c r="K101">
        <f t="shared" si="106"/>
        <v>800</v>
      </c>
      <c r="L101">
        <f t="shared" si="107"/>
        <v>968</v>
      </c>
      <c r="M101">
        <f t="shared" si="108"/>
        <v>41.999999999999993</v>
      </c>
      <c r="N101">
        <f t="shared" si="109"/>
        <v>46.199999999999996</v>
      </c>
      <c r="O101" t="str">
        <f t="shared" si="110"/>
        <v>Marché 1</v>
      </c>
      <c r="P101">
        <f>VLOOKUP(O101,pxmassif,D101-2010,FALSE)*M101</f>
        <v>524.99999999999989</v>
      </c>
      <c r="Q101">
        <f>VLOOKUP(O101,pxcopeau,D101-2010,FALSE)*N101</f>
        <v>346.49999999999994</v>
      </c>
      <c r="R101" t="str">
        <f t="shared" si="111"/>
        <v>SO</v>
      </c>
      <c r="S101">
        <f t="shared" si="112"/>
        <v>0</v>
      </c>
      <c r="T101">
        <f t="shared" si="113"/>
        <v>0</v>
      </c>
      <c r="U101" t="str">
        <f t="shared" si="114"/>
        <v>Marché 1</v>
      </c>
      <c r="V101">
        <f>VLOOKUP(U101,pxmassif,$D101-2010,FALSE)*S101</f>
        <v>0</v>
      </c>
      <c r="W101">
        <f>VLOOKUP(U101,pxcopeau,$D101-2010,FALSE)*T101</f>
        <v>0</v>
      </c>
      <c r="X101" t="str">
        <f t="shared" si="115"/>
        <v>SO</v>
      </c>
      <c r="Y101">
        <f t="shared" si="116"/>
        <v>0</v>
      </c>
      <c r="Z101">
        <f t="shared" si="117"/>
        <v>0</v>
      </c>
      <c r="AA101" t="str">
        <f t="shared" si="118"/>
        <v>Marché 1</v>
      </c>
      <c r="AB101">
        <f>VLOOKUP(AA101,pxmassif,$D101-2010,FALSE)*Y101</f>
        <v>0</v>
      </c>
      <c r="AC101">
        <f>VLOOKUP(AA101,pxcopeau,$D101-2010,FALSE)*Z101</f>
        <v>0</v>
      </c>
      <c r="AD101">
        <f t="shared" si="88"/>
        <v>41.999999999999993</v>
      </c>
      <c r="AE101">
        <f t="shared" si="89"/>
        <v>46.199999999999996</v>
      </c>
      <c r="AF101">
        <f t="shared" si="90"/>
        <v>88.199999999999989</v>
      </c>
      <c r="AG101">
        <f t="shared" si="91"/>
        <v>0</v>
      </c>
      <c r="AH101">
        <f t="shared" si="92"/>
        <v>0</v>
      </c>
      <c r="AI101">
        <f t="shared" si="93"/>
        <v>41.999999999999993</v>
      </c>
      <c r="AJ101">
        <f t="shared" si="94"/>
        <v>46.199999999999996</v>
      </c>
      <c r="AK101">
        <f t="shared" si="119"/>
        <v>85.184399999999982</v>
      </c>
      <c r="AL101">
        <f t="shared" si="120"/>
        <v>0</v>
      </c>
      <c r="AM101">
        <f>IFERROR(MIN(AL101,VLOOKUP(CONCATENATE(C101,"-to lingot"),negchutes,D101-2007,FALSE)),0)</f>
        <v>0</v>
      </c>
      <c r="AN101">
        <f t="shared" si="95"/>
        <v>0</v>
      </c>
      <c r="AO101" t="str">
        <f t="shared" si="125"/>
        <v>SO</v>
      </c>
      <c r="AP101">
        <f>IF(AR101=0,0,IFERROR(VLOOKUP(CONCATENATE($C101,"-to massif"),negchutes,$D101-2007,FALSE),0)*AM101/AR101)</f>
        <v>0</v>
      </c>
      <c r="AQ101">
        <f>IF(AR101=0,0,IFERROR(VLOOKUP(CONCATENATE($C101,"-to copeaux"),negchutes,$D101-2007,FALSE),0)*AM101/AR101)</f>
        <v>0</v>
      </c>
      <c r="AR101">
        <f>IFERROR(VLOOKUP(CONCATENATE($C101,"-to lingot"),negchutes,$D101-2007,FALSE),0)</f>
        <v>0</v>
      </c>
      <c r="AS101">
        <f>IF(AR101=0,0,AP101*VLOOKUP(CONCATENATE($C101,"-ac massif"),negchutes,$D101-2007,FALSE))</f>
        <v>0</v>
      </c>
      <c r="AT101">
        <f>IF(AR101=0,0,AQ101*VLOOKUP(CONCATENATE($C101,"-ac copeaux"),negchutes,$D101-2007,FALSE))</f>
        <v>0</v>
      </c>
      <c r="AU101">
        <f t="shared" si="121"/>
        <v>0</v>
      </c>
      <c r="AV101">
        <f>IFERROR(VLOOKUP(CONCATENATE(C101,"-px lingot"),negchutes,D101-2007,FALSE),0)*AM101</f>
        <v>0</v>
      </c>
      <c r="AW101">
        <f>AN101*VLOOKUP("Marché 1",pxlingot,D101-2010,FALSE)</f>
        <v>0</v>
      </c>
      <c r="AX101">
        <f t="shared" si="97"/>
        <v>0</v>
      </c>
      <c r="AY101" t="str">
        <f t="shared" si="122"/>
        <v>Non Refondu</v>
      </c>
      <c r="AZ101">
        <f t="shared" si="123"/>
        <v>85.184399999999982</v>
      </c>
      <c r="BA101">
        <f>MAX(VLOOKUP(VLOOKUP(C101,descmarche,28,FALSE),pxlingot,D101-2010,FALSE),AX101)</f>
        <v>0</v>
      </c>
      <c r="BB101">
        <f t="shared" si="98"/>
        <v>0</v>
      </c>
      <c r="BC101" t="str">
        <f t="shared" si="124"/>
        <v>SO</v>
      </c>
    </row>
    <row r="102" spans="1:55" x14ac:dyDescent="0.25">
      <c r="A102" t="s">
        <v>16</v>
      </c>
      <c r="B102" s="4" t="s">
        <v>49</v>
      </c>
      <c r="C102" t="str">
        <f t="shared" si="101"/>
        <v>UKTMP-08</v>
      </c>
      <c r="D102">
        <v>2020</v>
      </c>
      <c r="E102">
        <v>1000</v>
      </c>
      <c r="F102" t="str">
        <f t="shared" si="65"/>
        <v>CP</v>
      </c>
      <c r="G102" t="str">
        <f t="shared" si="102"/>
        <v>Corrosion Cp</v>
      </c>
      <c r="H102">
        <f t="shared" si="103"/>
        <v>0</v>
      </c>
      <c r="I102">
        <f t="shared" si="104"/>
        <v>2</v>
      </c>
      <c r="J102">
        <f t="shared" si="105"/>
        <v>1210</v>
      </c>
      <c r="K102">
        <f t="shared" si="106"/>
        <v>1000</v>
      </c>
      <c r="L102">
        <f t="shared" si="107"/>
        <v>1210</v>
      </c>
      <c r="M102">
        <f t="shared" si="108"/>
        <v>52.499999999999993</v>
      </c>
      <c r="N102">
        <f t="shared" si="109"/>
        <v>57.749999999999993</v>
      </c>
      <c r="O102" t="str">
        <f t="shared" si="110"/>
        <v>Marché 1</v>
      </c>
      <c r="P102">
        <f>VLOOKUP(O102,pxmassif,D102-2010,FALSE)*M102</f>
        <v>656.24999999999989</v>
      </c>
      <c r="Q102">
        <f>VLOOKUP(O102,pxcopeau,D102-2010,FALSE)*N102</f>
        <v>433.12499999999994</v>
      </c>
      <c r="R102" t="str">
        <f t="shared" si="111"/>
        <v>SO</v>
      </c>
      <c r="S102">
        <f t="shared" si="112"/>
        <v>0</v>
      </c>
      <c r="T102">
        <f t="shared" si="113"/>
        <v>0</v>
      </c>
      <c r="U102" t="str">
        <f t="shared" si="114"/>
        <v>Marché 1</v>
      </c>
      <c r="V102">
        <f>VLOOKUP(U102,pxmassif,$D102-2010,FALSE)*S102</f>
        <v>0</v>
      </c>
      <c r="W102">
        <f>VLOOKUP(U102,pxcopeau,$D102-2010,FALSE)*T102</f>
        <v>0</v>
      </c>
      <c r="X102" t="str">
        <f t="shared" si="115"/>
        <v>SO</v>
      </c>
      <c r="Y102">
        <f t="shared" si="116"/>
        <v>0</v>
      </c>
      <c r="Z102">
        <f t="shared" si="117"/>
        <v>0</v>
      </c>
      <c r="AA102" t="str">
        <f t="shared" si="118"/>
        <v>Marché 1</v>
      </c>
      <c r="AB102">
        <f>VLOOKUP(AA102,pxmassif,$D102-2010,FALSE)*Y102</f>
        <v>0</v>
      </c>
      <c r="AC102">
        <f>VLOOKUP(AA102,pxcopeau,$D102-2010,FALSE)*Z102</f>
        <v>0</v>
      </c>
      <c r="AD102">
        <f t="shared" si="88"/>
        <v>52.499999999999993</v>
      </c>
      <c r="AE102">
        <f t="shared" si="89"/>
        <v>57.749999999999993</v>
      </c>
      <c r="AF102">
        <f t="shared" si="90"/>
        <v>110.24999999999999</v>
      </c>
      <c r="AG102">
        <f t="shared" si="91"/>
        <v>0</v>
      </c>
      <c r="AH102">
        <f t="shared" si="92"/>
        <v>0</v>
      </c>
      <c r="AI102">
        <f t="shared" si="93"/>
        <v>52.499999999999993</v>
      </c>
      <c r="AJ102">
        <f t="shared" si="94"/>
        <v>57.749999999999993</v>
      </c>
      <c r="AK102">
        <f t="shared" si="119"/>
        <v>106.48049999999998</v>
      </c>
      <c r="AL102">
        <f t="shared" si="120"/>
        <v>0</v>
      </c>
      <c r="AM102">
        <f>IFERROR(MIN(AL102,VLOOKUP(CONCATENATE(C102,"-to lingot"),negchutes,D102-2007,FALSE)),0)</f>
        <v>0</v>
      </c>
      <c r="AN102">
        <f t="shared" si="95"/>
        <v>0</v>
      </c>
      <c r="AO102" t="str">
        <f t="shared" si="125"/>
        <v>SO</v>
      </c>
      <c r="AP102">
        <f>IF(AR102=0,0,IFERROR(VLOOKUP(CONCATENATE($C102,"-to massif"),negchutes,$D102-2007,FALSE),0)*AM102/AR102)</f>
        <v>0</v>
      </c>
      <c r="AQ102">
        <f>IF(AR102=0,0,IFERROR(VLOOKUP(CONCATENATE($C102,"-to copeaux"),negchutes,$D102-2007,FALSE),0)*AM102/AR102)</f>
        <v>0</v>
      </c>
      <c r="AR102">
        <f>IFERROR(VLOOKUP(CONCATENATE($C102,"-to lingot"),negchutes,$D102-2007,FALSE),0)</f>
        <v>0</v>
      </c>
      <c r="AS102">
        <f>IF(AR102=0,0,AP102*VLOOKUP(CONCATENATE($C102,"-ac massif"),negchutes,$D102-2007,FALSE))</f>
        <v>0</v>
      </c>
      <c r="AT102">
        <f>IF(AR102=0,0,AQ102*VLOOKUP(CONCATENATE($C102,"-ac copeaux"),negchutes,$D102-2007,FALSE))</f>
        <v>0</v>
      </c>
      <c r="AU102">
        <f t="shared" si="121"/>
        <v>0</v>
      </c>
      <c r="AV102">
        <f>IFERROR(VLOOKUP(CONCATENATE(C102,"-px lingot"),negchutes,D102-2007,FALSE),0)*AM102</f>
        <v>0</v>
      </c>
      <c r="AW102">
        <f>AN102*VLOOKUP("Marché 1",pxlingot,D102-2010,FALSE)</f>
        <v>0</v>
      </c>
      <c r="AX102">
        <f t="shared" si="97"/>
        <v>0</v>
      </c>
      <c r="AY102" t="str">
        <f t="shared" si="122"/>
        <v>Non Refondu</v>
      </c>
      <c r="AZ102">
        <f t="shared" si="123"/>
        <v>106.48049999999999</v>
      </c>
      <c r="BA102">
        <f>MAX(VLOOKUP(VLOOKUP(C102,descmarche,28,FALSE),pxlingot,D102-2010,FALSE),AX102)</f>
        <v>0</v>
      </c>
      <c r="BB102">
        <f t="shared" si="98"/>
        <v>0</v>
      </c>
      <c r="BC102" t="str">
        <f t="shared" si="124"/>
        <v>SO</v>
      </c>
    </row>
    <row r="103" spans="1:55" x14ac:dyDescent="0.25">
      <c r="A103" t="s">
        <v>16</v>
      </c>
      <c r="B103" s="4" t="s">
        <v>49</v>
      </c>
      <c r="C103" t="str">
        <f t="shared" si="101"/>
        <v>UKTMP-08</v>
      </c>
      <c r="D103">
        <v>2021</v>
      </c>
      <c r="E103">
        <v>1000</v>
      </c>
      <c r="F103" t="str">
        <f t="shared" si="65"/>
        <v>CP</v>
      </c>
      <c r="G103" t="str">
        <f t="shared" si="102"/>
        <v>Corrosion Cp</v>
      </c>
      <c r="H103">
        <f t="shared" si="103"/>
        <v>0</v>
      </c>
      <c r="I103">
        <f t="shared" si="104"/>
        <v>2</v>
      </c>
      <c r="J103">
        <f t="shared" si="105"/>
        <v>1210</v>
      </c>
      <c r="K103">
        <f t="shared" si="106"/>
        <v>1000</v>
      </c>
      <c r="L103">
        <f t="shared" si="107"/>
        <v>1210</v>
      </c>
      <c r="M103">
        <f t="shared" si="108"/>
        <v>52.499999999999993</v>
      </c>
      <c r="N103">
        <f t="shared" si="109"/>
        <v>57.749999999999993</v>
      </c>
      <c r="O103" t="str">
        <f t="shared" si="110"/>
        <v>Marché 1</v>
      </c>
      <c r="P103">
        <f>VLOOKUP(O103,pxmassif,D103-2010,FALSE)*M103</f>
        <v>656.24999999999989</v>
      </c>
      <c r="Q103">
        <f>VLOOKUP(O103,pxcopeau,D103-2010,FALSE)*N103</f>
        <v>433.12499999999994</v>
      </c>
      <c r="R103" t="str">
        <f t="shared" si="111"/>
        <v>SO</v>
      </c>
      <c r="S103">
        <f t="shared" si="112"/>
        <v>0</v>
      </c>
      <c r="T103">
        <f t="shared" si="113"/>
        <v>0</v>
      </c>
      <c r="U103" t="str">
        <f t="shared" si="114"/>
        <v>Marché 1</v>
      </c>
      <c r="V103">
        <f>VLOOKUP(U103,pxmassif,$D103-2010,FALSE)*S103</f>
        <v>0</v>
      </c>
      <c r="W103">
        <f>VLOOKUP(U103,pxcopeau,$D103-2010,FALSE)*T103</f>
        <v>0</v>
      </c>
      <c r="X103" t="str">
        <f t="shared" si="115"/>
        <v>SO</v>
      </c>
      <c r="Y103">
        <f t="shared" si="116"/>
        <v>0</v>
      </c>
      <c r="Z103">
        <f t="shared" si="117"/>
        <v>0</v>
      </c>
      <c r="AA103" t="str">
        <f t="shared" si="118"/>
        <v>Marché 1</v>
      </c>
      <c r="AB103">
        <f>VLOOKUP(AA103,pxmassif,$D103-2010,FALSE)*Y103</f>
        <v>0</v>
      </c>
      <c r="AC103">
        <f>VLOOKUP(AA103,pxcopeau,$D103-2010,FALSE)*Z103</f>
        <v>0</v>
      </c>
      <c r="AD103">
        <f t="shared" si="88"/>
        <v>52.499999999999993</v>
      </c>
      <c r="AE103">
        <f t="shared" si="89"/>
        <v>57.749999999999993</v>
      </c>
      <c r="AF103">
        <f t="shared" si="90"/>
        <v>110.24999999999999</v>
      </c>
      <c r="AG103">
        <f t="shared" si="91"/>
        <v>0</v>
      </c>
      <c r="AH103">
        <f t="shared" si="92"/>
        <v>0</v>
      </c>
      <c r="AI103">
        <f t="shared" si="93"/>
        <v>52.499999999999993</v>
      </c>
      <c r="AJ103">
        <f t="shared" si="94"/>
        <v>57.749999999999993</v>
      </c>
      <c r="AK103">
        <f t="shared" si="119"/>
        <v>106.48049999999998</v>
      </c>
      <c r="AL103">
        <f t="shared" si="120"/>
        <v>0</v>
      </c>
      <c r="AM103">
        <f>IFERROR(MIN(AL103,VLOOKUP(CONCATENATE(C103,"-to lingot"),negchutes,D103-2007,FALSE)),0)</f>
        <v>0</v>
      </c>
      <c r="AN103">
        <f t="shared" si="95"/>
        <v>0</v>
      </c>
      <c r="AO103" t="str">
        <f t="shared" si="125"/>
        <v>SO</v>
      </c>
      <c r="AP103">
        <f>IF(AR103=0,0,IFERROR(VLOOKUP(CONCATENATE($C103,"-to massif"),negchutes,$D103-2007,FALSE),0)*AM103/AR103)</f>
        <v>0</v>
      </c>
      <c r="AQ103">
        <f>IF(AR103=0,0,IFERROR(VLOOKUP(CONCATENATE($C103,"-to copeaux"),negchutes,$D103-2007,FALSE),0)*AM103/AR103)</f>
        <v>0</v>
      </c>
      <c r="AR103">
        <f>IFERROR(VLOOKUP(CONCATENATE($C103,"-to lingot"),negchutes,$D103-2007,FALSE),0)</f>
        <v>0</v>
      </c>
      <c r="AS103">
        <f>IF(AR103=0,0,AP103*VLOOKUP(CONCATENATE($C103,"-ac massif"),negchutes,$D103-2007,FALSE))</f>
        <v>0</v>
      </c>
      <c r="AT103">
        <f>IF(AR103=0,0,AQ103*VLOOKUP(CONCATENATE($C103,"-ac copeaux"),negchutes,$D103-2007,FALSE))</f>
        <v>0</v>
      </c>
      <c r="AU103">
        <f t="shared" si="121"/>
        <v>0</v>
      </c>
      <c r="AV103">
        <f>IFERROR(VLOOKUP(CONCATENATE(C103,"-px lingot"),negchutes,D103-2007,FALSE),0)*AM103</f>
        <v>0</v>
      </c>
      <c r="AW103">
        <f>AN103*VLOOKUP("Marché 1",pxlingot,D103-2010,FALSE)</f>
        <v>0</v>
      </c>
      <c r="AX103">
        <f t="shared" si="97"/>
        <v>0</v>
      </c>
      <c r="AY103" t="str">
        <f t="shared" si="122"/>
        <v>Non Refondu</v>
      </c>
      <c r="AZ103">
        <f t="shared" si="123"/>
        <v>106.48049999999999</v>
      </c>
      <c r="BA103">
        <f>MAX(VLOOKUP(VLOOKUP(C103,descmarche,28,FALSE),pxlingot,D103-2010,FALSE),AX103)</f>
        <v>0</v>
      </c>
      <c r="BB103">
        <f t="shared" si="98"/>
        <v>0</v>
      </c>
      <c r="BC103" t="str">
        <f t="shared" si="124"/>
        <v>SO</v>
      </c>
    </row>
    <row r="104" spans="1:55" x14ac:dyDescent="0.25">
      <c r="A104" t="s">
        <v>16</v>
      </c>
      <c r="B104" s="4" t="s">
        <v>49</v>
      </c>
      <c r="C104" t="str">
        <f t="shared" si="101"/>
        <v>UKTMP-08</v>
      </c>
      <c r="D104">
        <v>2022</v>
      </c>
      <c r="E104">
        <v>1000</v>
      </c>
      <c r="F104" t="str">
        <f t="shared" si="65"/>
        <v>CP</v>
      </c>
      <c r="G104" t="str">
        <f t="shared" si="102"/>
        <v>Corrosion Cp</v>
      </c>
      <c r="H104">
        <f t="shared" si="103"/>
        <v>0</v>
      </c>
      <c r="I104">
        <f t="shared" si="104"/>
        <v>2</v>
      </c>
      <c r="J104">
        <f t="shared" si="105"/>
        <v>1210</v>
      </c>
      <c r="K104">
        <f t="shared" si="106"/>
        <v>1000</v>
      </c>
      <c r="L104">
        <f t="shared" si="107"/>
        <v>1210</v>
      </c>
      <c r="M104">
        <f t="shared" si="108"/>
        <v>52.499999999999993</v>
      </c>
      <c r="N104">
        <f t="shared" si="109"/>
        <v>57.749999999999993</v>
      </c>
      <c r="O104" t="str">
        <f t="shared" si="110"/>
        <v>Marché 1</v>
      </c>
      <c r="P104">
        <f>VLOOKUP(O104,pxmassif,D104-2010,FALSE)*M104</f>
        <v>656.24999999999989</v>
      </c>
      <c r="Q104">
        <f>VLOOKUP(O104,pxcopeau,D104-2010,FALSE)*N104</f>
        <v>433.12499999999994</v>
      </c>
      <c r="R104" t="str">
        <f t="shared" si="111"/>
        <v>SO</v>
      </c>
      <c r="S104">
        <f t="shared" si="112"/>
        <v>0</v>
      </c>
      <c r="T104">
        <f t="shared" si="113"/>
        <v>0</v>
      </c>
      <c r="U104" t="str">
        <f t="shared" si="114"/>
        <v>Marché 1</v>
      </c>
      <c r="V104">
        <f>VLOOKUP(U104,pxmassif,$D104-2010,FALSE)*S104</f>
        <v>0</v>
      </c>
      <c r="W104">
        <f>VLOOKUP(U104,pxcopeau,$D104-2010,FALSE)*T104</f>
        <v>0</v>
      </c>
      <c r="X104" t="str">
        <f t="shared" si="115"/>
        <v>SO</v>
      </c>
      <c r="Y104">
        <f t="shared" si="116"/>
        <v>0</v>
      </c>
      <c r="Z104">
        <f t="shared" si="117"/>
        <v>0</v>
      </c>
      <c r="AA104" t="str">
        <f t="shared" si="118"/>
        <v>Marché 1</v>
      </c>
      <c r="AB104">
        <f>VLOOKUP(AA104,pxmassif,$D104-2010,FALSE)*Y104</f>
        <v>0</v>
      </c>
      <c r="AC104">
        <f>VLOOKUP(AA104,pxcopeau,$D104-2010,FALSE)*Z104</f>
        <v>0</v>
      </c>
      <c r="AD104">
        <f t="shared" si="88"/>
        <v>52.499999999999993</v>
      </c>
      <c r="AE104">
        <f t="shared" si="89"/>
        <v>57.749999999999993</v>
      </c>
      <c r="AF104">
        <f t="shared" si="90"/>
        <v>110.24999999999999</v>
      </c>
      <c r="AG104">
        <f t="shared" si="91"/>
        <v>0</v>
      </c>
      <c r="AH104">
        <f t="shared" si="92"/>
        <v>0</v>
      </c>
      <c r="AI104">
        <f t="shared" si="93"/>
        <v>52.499999999999993</v>
      </c>
      <c r="AJ104">
        <f t="shared" si="94"/>
        <v>57.749999999999993</v>
      </c>
      <c r="AK104">
        <f t="shared" si="119"/>
        <v>106.48049999999998</v>
      </c>
      <c r="AL104">
        <f t="shared" si="120"/>
        <v>0</v>
      </c>
      <c r="AM104">
        <f>IFERROR(MIN(AL104,VLOOKUP(CONCATENATE(C104,"-to lingot"),negchutes,D104-2007,FALSE)),0)</f>
        <v>0</v>
      </c>
      <c r="AN104">
        <f t="shared" si="95"/>
        <v>0</v>
      </c>
      <c r="AO104" t="str">
        <f t="shared" si="125"/>
        <v>SO</v>
      </c>
      <c r="AP104">
        <f>IF(AR104=0,0,IFERROR(VLOOKUP(CONCATENATE($C104,"-to massif"),negchutes,$D104-2007,FALSE),0)*AM104/AR104)</f>
        <v>0</v>
      </c>
      <c r="AQ104">
        <f>IF(AR104=0,0,IFERROR(VLOOKUP(CONCATENATE($C104,"-to copeaux"),negchutes,$D104-2007,FALSE),0)*AM104/AR104)</f>
        <v>0</v>
      </c>
      <c r="AR104">
        <f>IFERROR(VLOOKUP(CONCATENATE($C104,"-to lingot"),negchutes,$D104-2007,FALSE),0)</f>
        <v>0</v>
      </c>
      <c r="AS104">
        <f>IF(AR104=0,0,AP104*VLOOKUP(CONCATENATE($C104,"-ac massif"),negchutes,$D104-2007,FALSE))</f>
        <v>0</v>
      </c>
      <c r="AT104">
        <f>IF(AR104=0,0,AQ104*VLOOKUP(CONCATENATE($C104,"-ac copeaux"),negchutes,$D104-2007,FALSE))</f>
        <v>0</v>
      </c>
      <c r="AU104">
        <f t="shared" si="121"/>
        <v>0</v>
      </c>
      <c r="AV104">
        <f>IFERROR(VLOOKUP(CONCATENATE(C104,"-px lingot"),negchutes,D104-2007,FALSE),0)*AM104</f>
        <v>0</v>
      </c>
      <c r="AW104">
        <f>AN104*VLOOKUP("Marché 1",pxlingot,D104-2010,FALSE)</f>
        <v>0</v>
      </c>
      <c r="AX104">
        <f t="shared" si="97"/>
        <v>0</v>
      </c>
      <c r="AY104" t="str">
        <f t="shared" si="122"/>
        <v>Non Refondu</v>
      </c>
      <c r="AZ104">
        <f t="shared" si="123"/>
        <v>106.48049999999999</v>
      </c>
      <c r="BA104">
        <f>MAX(VLOOKUP(VLOOKUP(C104,descmarche,28,FALSE),pxlingot,D104-2010,FALSE),AX104)</f>
        <v>0</v>
      </c>
      <c r="BB104">
        <f t="shared" si="98"/>
        <v>0</v>
      </c>
      <c r="BC104" t="str">
        <f t="shared" si="124"/>
        <v>SO</v>
      </c>
    </row>
    <row r="105" spans="1:55" x14ac:dyDescent="0.25">
      <c r="A105" t="s">
        <v>16</v>
      </c>
      <c r="B105" s="4" t="s">
        <v>49</v>
      </c>
      <c r="C105" t="str">
        <f t="shared" si="101"/>
        <v>UKTMP-08</v>
      </c>
      <c r="D105">
        <v>2023</v>
      </c>
      <c r="E105">
        <v>1000</v>
      </c>
      <c r="F105" t="str">
        <f t="shared" si="65"/>
        <v>CP</v>
      </c>
      <c r="G105" t="str">
        <f t="shared" si="102"/>
        <v>Corrosion Cp</v>
      </c>
      <c r="H105">
        <f t="shared" si="103"/>
        <v>0</v>
      </c>
      <c r="I105">
        <f t="shared" si="104"/>
        <v>2</v>
      </c>
      <c r="J105">
        <f t="shared" si="105"/>
        <v>1210</v>
      </c>
      <c r="K105">
        <f t="shared" si="106"/>
        <v>1000</v>
      </c>
      <c r="L105">
        <f t="shared" si="107"/>
        <v>1210</v>
      </c>
      <c r="M105">
        <f t="shared" si="108"/>
        <v>52.499999999999993</v>
      </c>
      <c r="N105">
        <f t="shared" si="109"/>
        <v>57.749999999999993</v>
      </c>
      <c r="O105" t="str">
        <f t="shared" si="110"/>
        <v>Marché 1</v>
      </c>
      <c r="P105">
        <f>VLOOKUP(O105,pxmassif,D105-2010,FALSE)*M105</f>
        <v>656.24999999999989</v>
      </c>
      <c r="Q105">
        <f>VLOOKUP(O105,pxcopeau,D105-2010,FALSE)*N105</f>
        <v>433.12499999999994</v>
      </c>
      <c r="R105" t="str">
        <f t="shared" si="111"/>
        <v>SO</v>
      </c>
      <c r="S105">
        <f t="shared" si="112"/>
        <v>0</v>
      </c>
      <c r="T105">
        <f t="shared" si="113"/>
        <v>0</v>
      </c>
      <c r="U105" t="str">
        <f t="shared" si="114"/>
        <v>Marché 1</v>
      </c>
      <c r="V105">
        <f>VLOOKUP(U105,pxmassif,$D105-2010,FALSE)*S105</f>
        <v>0</v>
      </c>
      <c r="W105">
        <f>VLOOKUP(U105,pxcopeau,$D105-2010,FALSE)*T105</f>
        <v>0</v>
      </c>
      <c r="X105" t="str">
        <f t="shared" si="115"/>
        <v>SO</v>
      </c>
      <c r="Y105">
        <f t="shared" si="116"/>
        <v>0</v>
      </c>
      <c r="Z105">
        <f t="shared" si="117"/>
        <v>0</v>
      </c>
      <c r="AA105" t="str">
        <f t="shared" si="118"/>
        <v>Marché 1</v>
      </c>
      <c r="AB105">
        <f>VLOOKUP(AA105,pxmassif,$D105-2010,FALSE)*Y105</f>
        <v>0</v>
      </c>
      <c r="AC105">
        <f>VLOOKUP(AA105,pxcopeau,$D105-2010,FALSE)*Z105</f>
        <v>0</v>
      </c>
      <c r="AD105">
        <f t="shared" si="88"/>
        <v>52.499999999999993</v>
      </c>
      <c r="AE105">
        <f t="shared" si="89"/>
        <v>57.749999999999993</v>
      </c>
      <c r="AF105">
        <f t="shared" si="90"/>
        <v>110.24999999999999</v>
      </c>
      <c r="AG105">
        <f t="shared" si="91"/>
        <v>0</v>
      </c>
      <c r="AH105">
        <f t="shared" si="92"/>
        <v>0</v>
      </c>
      <c r="AI105">
        <f t="shared" si="93"/>
        <v>52.499999999999993</v>
      </c>
      <c r="AJ105">
        <f t="shared" si="94"/>
        <v>57.749999999999993</v>
      </c>
      <c r="AK105">
        <f t="shared" si="119"/>
        <v>106.48049999999998</v>
      </c>
      <c r="AL105">
        <f t="shared" si="120"/>
        <v>0</v>
      </c>
      <c r="AM105">
        <f>IFERROR(MIN(AL105,VLOOKUP(CONCATENATE(C105,"-to lingot"),negchutes,D105-2007,FALSE)),0)</f>
        <v>0</v>
      </c>
      <c r="AN105">
        <f t="shared" si="95"/>
        <v>0</v>
      </c>
      <c r="AO105" t="str">
        <f t="shared" si="125"/>
        <v>SO</v>
      </c>
      <c r="AP105">
        <f>IF(AR105=0,0,IFERROR(VLOOKUP(CONCATENATE($C105,"-to massif"),negchutes,$D105-2007,FALSE),0)*AM105/AR105)</f>
        <v>0</v>
      </c>
      <c r="AQ105">
        <f>IF(AR105=0,0,IFERROR(VLOOKUP(CONCATENATE($C105,"-to copeaux"),negchutes,$D105-2007,FALSE),0)*AM105/AR105)</f>
        <v>0</v>
      </c>
      <c r="AR105">
        <f>IFERROR(VLOOKUP(CONCATENATE($C105,"-to lingot"),negchutes,$D105-2007,FALSE),0)</f>
        <v>0</v>
      </c>
      <c r="AS105">
        <f>IF(AR105=0,0,AP105*VLOOKUP(CONCATENATE($C105,"-ac massif"),negchutes,$D105-2007,FALSE))</f>
        <v>0</v>
      </c>
      <c r="AT105">
        <f>IF(AR105=0,0,AQ105*VLOOKUP(CONCATENATE($C105,"-ac copeaux"),negchutes,$D105-2007,FALSE))</f>
        <v>0</v>
      </c>
      <c r="AU105">
        <f t="shared" si="121"/>
        <v>0</v>
      </c>
      <c r="AV105">
        <f>IFERROR(VLOOKUP(CONCATENATE(C105,"-px lingot"),negchutes,D105-2007,FALSE),0)*AM105</f>
        <v>0</v>
      </c>
      <c r="AW105">
        <f>AN105*VLOOKUP("Marché 1",pxlingot,D105-2010,FALSE)</f>
        <v>0</v>
      </c>
      <c r="AX105">
        <f t="shared" si="97"/>
        <v>0</v>
      </c>
      <c r="AY105" t="str">
        <f t="shared" si="122"/>
        <v>Non Refondu</v>
      </c>
      <c r="AZ105">
        <f t="shared" si="123"/>
        <v>106.48049999999999</v>
      </c>
      <c r="BA105">
        <f>MAX(VLOOKUP(VLOOKUP(C105,descmarche,28,FALSE),pxlingot,D105-2010,FALSE),AX105)</f>
        <v>0</v>
      </c>
      <c r="BB105">
        <f t="shared" si="98"/>
        <v>0</v>
      </c>
      <c r="BC105" t="str">
        <f t="shared" si="124"/>
        <v>SO</v>
      </c>
    </row>
    <row r="106" spans="1:55" x14ac:dyDescent="0.25">
      <c r="A106" t="s">
        <v>16</v>
      </c>
      <c r="B106" s="4" t="s">
        <v>49</v>
      </c>
      <c r="C106" t="str">
        <f t="shared" si="101"/>
        <v>UKTMP-08</v>
      </c>
      <c r="D106">
        <v>2024</v>
      </c>
      <c r="E106">
        <v>1000</v>
      </c>
      <c r="F106" t="str">
        <f t="shared" si="65"/>
        <v>CP</v>
      </c>
      <c r="G106" t="str">
        <f t="shared" si="102"/>
        <v>Corrosion Cp</v>
      </c>
      <c r="H106">
        <f t="shared" si="103"/>
        <v>0</v>
      </c>
      <c r="I106">
        <f t="shared" si="104"/>
        <v>2</v>
      </c>
      <c r="J106">
        <f t="shared" si="105"/>
        <v>1210</v>
      </c>
      <c r="K106">
        <f t="shared" si="106"/>
        <v>1000</v>
      </c>
      <c r="L106">
        <f t="shared" si="107"/>
        <v>1210</v>
      </c>
      <c r="M106">
        <f t="shared" si="108"/>
        <v>52.499999999999993</v>
      </c>
      <c r="N106">
        <f t="shared" si="109"/>
        <v>57.749999999999993</v>
      </c>
      <c r="O106" t="str">
        <f t="shared" si="110"/>
        <v>Marché 1</v>
      </c>
      <c r="P106">
        <f>VLOOKUP(O106,pxmassif,D106-2010,FALSE)*M106</f>
        <v>656.24999999999989</v>
      </c>
      <c r="Q106">
        <f>VLOOKUP(O106,pxcopeau,D106-2010,FALSE)*N106</f>
        <v>433.12499999999994</v>
      </c>
      <c r="R106" t="str">
        <f t="shared" si="111"/>
        <v>SO</v>
      </c>
      <c r="S106">
        <f t="shared" si="112"/>
        <v>0</v>
      </c>
      <c r="T106">
        <f t="shared" si="113"/>
        <v>0</v>
      </c>
      <c r="U106" t="str">
        <f t="shared" si="114"/>
        <v>Marché 1</v>
      </c>
      <c r="V106">
        <f>VLOOKUP(U106,pxmassif,$D106-2010,FALSE)*S106</f>
        <v>0</v>
      </c>
      <c r="W106">
        <f>VLOOKUP(U106,pxcopeau,$D106-2010,FALSE)*T106</f>
        <v>0</v>
      </c>
      <c r="X106" t="str">
        <f t="shared" si="115"/>
        <v>SO</v>
      </c>
      <c r="Y106">
        <f t="shared" si="116"/>
        <v>0</v>
      </c>
      <c r="Z106">
        <f t="shared" si="117"/>
        <v>0</v>
      </c>
      <c r="AA106" t="str">
        <f t="shared" si="118"/>
        <v>Marché 1</v>
      </c>
      <c r="AB106">
        <f>VLOOKUP(AA106,pxmassif,$D106-2010,FALSE)*Y106</f>
        <v>0</v>
      </c>
      <c r="AC106">
        <f>VLOOKUP(AA106,pxcopeau,$D106-2010,FALSE)*Z106</f>
        <v>0</v>
      </c>
      <c r="AD106">
        <f t="shared" si="88"/>
        <v>52.499999999999993</v>
      </c>
      <c r="AE106">
        <f t="shared" si="89"/>
        <v>57.749999999999993</v>
      </c>
      <c r="AF106">
        <f t="shared" si="90"/>
        <v>110.24999999999999</v>
      </c>
      <c r="AG106">
        <f t="shared" si="91"/>
        <v>0</v>
      </c>
      <c r="AH106">
        <f t="shared" si="92"/>
        <v>0</v>
      </c>
      <c r="AI106">
        <f t="shared" si="93"/>
        <v>52.499999999999993</v>
      </c>
      <c r="AJ106">
        <f t="shared" si="94"/>
        <v>57.749999999999993</v>
      </c>
      <c r="AK106">
        <f t="shared" si="119"/>
        <v>106.48049999999998</v>
      </c>
      <c r="AL106">
        <f t="shared" si="120"/>
        <v>0</v>
      </c>
      <c r="AM106">
        <f>IFERROR(MIN(AL106,VLOOKUP(CONCATENATE(C106,"-to lingot"),negchutes,D106-2007,FALSE)),0)</f>
        <v>0</v>
      </c>
      <c r="AN106">
        <f t="shared" si="95"/>
        <v>0</v>
      </c>
      <c r="AO106" t="str">
        <f t="shared" si="125"/>
        <v>SO</v>
      </c>
      <c r="AP106">
        <f>IF(AR106=0,0,IFERROR(VLOOKUP(CONCATENATE($C106,"-to massif"),negchutes,$D106-2007,FALSE),0)*AM106/AR106)</f>
        <v>0</v>
      </c>
      <c r="AQ106">
        <f>IF(AR106=0,0,IFERROR(VLOOKUP(CONCATENATE($C106,"-to copeaux"),negchutes,$D106-2007,FALSE),0)*AM106/AR106)</f>
        <v>0</v>
      </c>
      <c r="AR106">
        <f>IFERROR(VLOOKUP(CONCATENATE($C106,"-to lingot"),negchutes,$D106-2007,FALSE),0)</f>
        <v>0</v>
      </c>
      <c r="AS106">
        <f>IF(AR106=0,0,AP106*VLOOKUP(CONCATENATE($C106,"-ac massif"),negchutes,$D106-2007,FALSE))</f>
        <v>0</v>
      </c>
      <c r="AT106">
        <f>IF(AR106=0,0,AQ106*VLOOKUP(CONCATENATE($C106,"-ac copeaux"),negchutes,$D106-2007,FALSE))</f>
        <v>0</v>
      </c>
      <c r="AU106">
        <f t="shared" si="121"/>
        <v>0</v>
      </c>
      <c r="AV106">
        <f>IFERROR(VLOOKUP(CONCATENATE(C106,"-px lingot"),negchutes,D106-2007,FALSE),0)*AM106</f>
        <v>0</v>
      </c>
      <c r="AW106">
        <f>AN106*VLOOKUP("Marché 1",pxlingot,D106-2010,FALSE)</f>
        <v>0</v>
      </c>
      <c r="AX106">
        <f t="shared" si="97"/>
        <v>0</v>
      </c>
      <c r="AY106" t="str">
        <f t="shared" si="122"/>
        <v>Non Refondu</v>
      </c>
      <c r="AZ106">
        <f t="shared" si="123"/>
        <v>106.48049999999999</v>
      </c>
      <c r="BA106">
        <f>MAX(VLOOKUP(VLOOKUP(C106,descmarche,28,FALSE),pxlingot,D106-2010,FALSE),AX106)</f>
        <v>0</v>
      </c>
      <c r="BB106">
        <f t="shared" si="98"/>
        <v>0</v>
      </c>
      <c r="BC106" t="str">
        <f t="shared" si="124"/>
        <v>SO</v>
      </c>
    </row>
    <row r="107" spans="1:55" x14ac:dyDescent="0.25">
      <c r="A107" t="s">
        <v>69</v>
      </c>
      <c r="B107" s="4" t="s">
        <v>42</v>
      </c>
      <c r="C107" t="str">
        <f t="shared" si="101"/>
        <v>EcoTi-01</v>
      </c>
      <c r="D107">
        <v>2016</v>
      </c>
      <c r="E107">
        <v>200</v>
      </c>
      <c r="F107" t="str">
        <f t="shared" si="65"/>
        <v>Airbus pour AD</v>
      </c>
      <c r="G107" t="str">
        <f t="shared" si="102"/>
        <v>Airbus via EcoTi (DoorFrames)</v>
      </c>
      <c r="H107" t="str">
        <f t="shared" si="103"/>
        <v>Structure</v>
      </c>
      <c r="I107">
        <f t="shared" si="104"/>
        <v>5</v>
      </c>
      <c r="J107">
        <f t="shared" si="105"/>
        <v>1210</v>
      </c>
      <c r="K107">
        <f t="shared" si="106"/>
        <v>200</v>
      </c>
      <c r="L107">
        <f t="shared" si="107"/>
        <v>242</v>
      </c>
      <c r="M107">
        <f t="shared" si="108"/>
        <v>10.499999999999998</v>
      </c>
      <c r="N107">
        <f t="shared" si="109"/>
        <v>11.549999999999999</v>
      </c>
      <c r="O107" t="str">
        <f t="shared" si="110"/>
        <v>Circ 1</v>
      </c>
      <c r="P107">
        <f>VLOOKUP(O107,pxmassif,D107-2010,FALSE)*M107</f>
        <v>10.499999999999998</v>
      </c>
      <c r="Q107">
        <f>VLOOKUP(O107,pxcopeau,D107-2010,FALSE)*N107</f>
        <v>6.9299999999999988</v>
      </c>
      <c r="R107" t="str">
        <f t="shared" si="111"/>
        <v>AD PAMIERS</v>
      </c>
      <c r="S107">
        <f t="shared" si="112"/>
        <v>41.8</v>
      </c>
      <c r="T107">
        <f t="shared" si="113"/>
        <v>0</v>
      </c>
      <c r="U107" t="str">
        <f t="shared" si="114"/>
        <v>Circ 1</v>
      </c>
      <c r="V107">
        <f>VLOOKUP(U107,pxmassif,$D107-2010,FALSE)*S107</f>
        <v>41.8</v>
      </c>
      <c r="W107">
        <f>VLOOKUP(U107,pxcopeau,$D107-2010,FALSE)*T107</f>
        <v>0</v>
      </c>
      <c r="X107" t="str">
        <f t="shared" si="115"/>
        <v>Client</v>
      </c>
      <c r="Y107">
        <f t="shared" si="116"/>
        <v>0</v>
      </c>
      <c r="Z107">
        <f t="shared" si="117"/>
        <v>136</v>
      </c>
      <c r="AA107" t="str">
        <f t="shared" si="118"/>
        <v>Circ 1</v>
      </c>
      <c r="AB107">
        <f>VLOOKUP(AA107,pxmassif,$D107-2010,FALSE)*Y107</f>
        <v>0</v>
      </c>
      <c r="AC107">
        <f>VLOOKUP(AA107,pxcopeau,$D107-2010,FALSE)*Z107</f>
        <v>81.599999999999994</v>
      </c>
      <c r="AD107">
        <f t="shared" si="88"/>
        <v>52.3</v>
      </c>
      <c r="AE107">
        <f t="shared" si="89"/>
        <v>11.549999999999999</v>
      </c>
      <c r="AF107">
        <f t="shared" si="90"/>
        <v>22.049999999999997</v>
      </c>
      <c r="AG107">
        <f t="shared" si="91"/>
        <v>41.8</v>
      </c>
      <c r="AH107">
        <f t="shared" si="92"/>
        <v>136</v>
      </c>
      <c r="AI107">
        <f t="shared" si="93"/>
        <v>52.3</v>
      </c>
      <c r="AJ107">
        <f t="shared" si="94"/>
        <v>147.55000000000001</v>
      </c>
      <c r="AK107">
        <f t="shared" si="119"/>
        <v>180.21474999999998</v>
      </c>
      <c r="AL107">
        <f t="shared" si="120"/>
        <v>61.785250000000012</v>
      </c>
      <c r="AM107">
        <f>IFERROR(MIN(AL107,VLOOKUP(CONCATENATE(C107,"-to lingot"),negchutes,D107-2007,FALSE)),0)</f>
        <v>0</v>
      </c>
      <c r="AN107">
        <f t="shared" si="95"/>
        <v>61.785250000000012</v>
      </c>
      <c r="AO107" t="str">
        <f t="shared" si="125"/>
        <v>Circ 1</v>
      </c>
      <c r="AP107">
        <f>IF(AR107=0,0,IFERROR(VLOOKUP(CONCATENATE($C107,"-to massif"),negchutes,$D107-2007,FALSE),0)*AM107/AR107)</f>
        <v>0</v>
      </c>
      <c r="AQ107">
        <f>IF(AR107=0,0,IFERROR(VLOOKUP(CONCATENATE($C107,"-to copeaux"),negchutes,$D107-2007,FALSE),0)*AM107/AR107)</f>
        <v>0</v>
      </c>
      <c r="AR107">
        <f>IFERROR(VLOOKUP(CONCATENATE($C107,"-to lingot"),negchutes,$D107-2007,FALSE),0)</f>
        <v>0</v>
      </c>
      <c r="AS107">
        <f>IF(AR107=0,0,AP107*VLOOKUP(CONCATENATE($C107,"-ac massif"),negchutes,$D107-2007,FALSE))</f>
        <v>0</v>
      </c>
      <c r="AT107">
        <f>IF(AR107=0,0,AQ107*VLOOKUP(CONCATENATE($C107,"-ac copeaux"),negchutes,$D107-2007,FALSE))</f>
        <v>0</v>
      </c>
      <c r="AU107">
        <f t="shared" si="121"/>
        <v>2793.3286249999996</v>
      </c>
      <c r="AV107">
        <f>IFERROR(VLOOKUP(CONCATENATE(C107,"-px lingot"),negchutes,D107-2007,FALSE),0)*AM107</f>
        <v>0</v>
      </c>
      <c r="AW107">
        <f>AN107*VLOOKUP("Marché 1",pxlingot,D107-2010,FALSE)</f>
        <v>1544.6312500000004</v>
      </c>
      <c r="AX107">
        <f t="shared" si="97"/>
        <v>17.925454028925621</v>
      </c>
      <c r="AY107" t="str">
        <f t="shared" si="122"/>
        <v>VAR</v>
      </c>
      <c r="AZ107">
        <f t="shared" si="123"/>
        <v>20.692349999999998</v>
      </c>
      <c r="BA107">
        <f>MAX(VLOOKUP(VLOOKUP(C107,descmarche,28,FALSE),pxlingot,D107-2010,FALSE),AX107)</f>
        <v>17.925454028925621</v>
      </c>
      <c r="BB107">
        <f t="shared" si="98"/>
        <v>4337.9598750000005</v>
      </c>
      <c r="BC107" t="str">
        <f t="shared" si="124"/>
        <v>Circ 1</v>
      </c>
    </row>
    <row r="108" spans="1:55" x14ac:dyDescent="0.25">
      <c r="A108" t="s">
        <v>69</v>
      </c>
      <c r="B108" s="4" t="s">
        <v>42</v>
      </c>
      <c r="C108" t="str">
        <f t="shared" si="101"/>
        <v>EcoTi-01</v>
      </c>
      <c r="D108">
        <v>2017</v>
      </c>
      <c r="E108">
        <v>400</v>
      </c>
      <c r="F108" t="str">
        <f t="shared" si="65"/>
        <v>Airbus pour AD</v>
      </c>
      <c r="G108" t="str">
        <f t="shared" si="102"/>
        <v>Airbus via EcoTi (DoorFrames)</v>
      </c>
      <c r="H108" t="str">
        <f t="shared" si="103"/>
        <v>Structure</v>
      </c>
      <c r="I108">
        <f t="shared" si="104"/>
        <v>5</v>
      </c>
      <c r="J108">
        <f t="shared" si="105"/>
        <v>1210</v>
      </c>
      <c r="K108">
        <f t="shared" si="106"/>
        <v>400</v>
      </c>
      <c r="L108">
        <f t="shared" si="107"/>
        <v>484</v>
      </c>
      <c r="M108">
        <f t="shared" si="108"/>
        <v>20.999999999999996</v>
      </c>
      <c r="N108">
        <f t="shared" si="109"/>
        <v>23.099999999999998</v>
      </c>
      <c r="O108" t="str">
        <f t="shared" si="110"/>
        <v>Circ 1</v>
      </c>
      <c r="P108">
        <f>VLOOKUP(O108,pxmassif,D108-2010,FALSE)*M108</f>
        <v>20.999999999999996</v>
      </c>
      <c r="Q108">
        <f>VLOOKUP(O108,pxcopeau,D108-2010,FALSE)*N108</f>
        <v>13.859999999999998</v>
      </c>
      <c r="R108" t="str">
        <f t="shared" si="111"/>
        <v>AD PAMIERS</v>
      </c>
      <c r="S108">
        <f t="shared" si="112"/>
        <v>83.6</v>
      </c>
      <c r="T108">
        <f t="shared" si="113"/>
        <v>0</v>
      </c>
      <c r="U108" t="str">
        <f t="shared" si="114"/>
        <v>Circ 1</v>
      </c>
      <c r="V108">
        <f>VLOOKUP(U108,pxmassif,$D108-2010,FALSE)*S108</f>
        <v>83.6</v>
      </c>
      <c r="W108">
        <f>VLOOKUP(U108,pxcopeau,$D108-2010,FALSE)*T108</f>
        <v>0</v>
      </c>
      <c r="X108" t="str">
        <f t="shared" si="115"/>
        <v>Client</v>
      </c>
      <c r="Y108">
        <f t="shared" si="116"/>
        <v>0</v>
      </c>
      <c r="Z108">
        <f t="shared" si="117"/>
        <v>272</v>
      </c>
      <c r="AA108" t="str">
        <f t="shared" si="118"/>
        <v>Circ 1</v>
      </c>
      <c r="AB108">
        <f>VLOOKUP(AA108,pxmassif,$D108-2010,FALSE)*Y108</f>
        <v>0</v>
      </c>
      <c r="AC108">
        <f>VLOOKUP(AA108,pxcopeau,$D108-2010,FALSE)*Z108</f>
        <v>163.19999999999999</v>
      </c>
      <c r="AD108">
        <f t="shared" si="88"/>
        <v>104.6</v>
      </c>
      <c r="AE108">
        <f t="shared" si="89"/>
        <v>23.099999999999998</v>
      </c>
      <c r="AF108">
        <f t="shared" si="90"/>
        <v>44.099999999999994</v>
      </c>
      <c r="AG108">
        <f t="shared" si="91"/>
        <v>83.6</v>
      </c>
      <c r="AH108">
        <f t="shared" si="92"/>
        <v>272</v>
      </c>
      <c r="AI108">
        <f t="shared" si="93"/>
        <v>104.6</v>
      </c>
      <c r="AJ108">
        <f t="shared" si="94"/>
        <v>295.10000000000002</v>
      </c>
      <c r="AK108">
        <f t="shared" si="119"/>
        <v>360.42949999999996</v>
      </c>
      <c r="AL108">
        <f t="shared" si="120"/>
        <v>123.57050000000002</v>
      </c>
      <c r="AM108">
        <f>IFERROR(MIN(AL108,VLOOKUP(CONCATENATE(C108,"-to lingot"),negchutes,D108-2007,FALSE)),0)</f>
        <v>0</v>
      </c>
      <c r="AN108">
        <f t="shared" si="95"/>
        <v>123.57050000000002</v>
      </c>
      <c r="AO108" t="str">
        <f t="shared" si="125"/>
        <v>Circ 1</v>
      </c>
      <c r="AP108">
        <f>IF(AR108=0,0,IFERROR(VLOOKUP(CONCATENATE($C108,"-to massif"),negchutes,$D108-2007,FALSE),0)*AM108/AR108)</f>
        <v>0</v>
      </c>
      <c r="AQ108">
        <f>IF(AR108=0,0,IFERROR(VLOOKUP(CONCATENATE($C108,"-to copeaux"),negchutes,$D108-2007,FALSE),0)*AM108/AR108)</f>
        <v>0</v>
      </c>
      <c r="AR108">
        <f>IFERROR(VLOOKUP(CONCATENATE($C108,"-to lingot"),negchutes,$D108-2007,FALSE),0)</f>
        <v>0</v>
      </c>
      <c r="AS108">
        <f>IF(AR108=0,0,AP108*VLOOKUP(CONCATENATE($C108,"-ac massif"),negchutes,$D108-2007,FALSE))</f>
        <v>0</v>
      </c>
      <c r="AT108">
        <f>IF(AR108=0,0,AQ108*VLOOKUP(CONCATENATE($C108,"-ac copeaux"),negchutes,$D108-2007,FALSE))</f>
        <v>0</v>
      </c>
      <c r="AU108">
        <f t="shared" si="121"/>
        <v>5586.6572499999993</v>
      </c>
      <c r="AV108">
        <f>IFERROR(VLOOKUP(CONCATENATE(C108,"-px lingot"),negchutes,D108-2007,FALSE),0)*AM108</f>
        <v>0</v>
      </c>
      <c r="AW108">
        <f>AN108*VLOOKUP("Marché 1",pxlingot,D108-2010,FALSE)</f>
        <v>3089.2625000000007</v>
      </c>
      <c r="AX108">
        <f t="shared" si="97"/>
        <v>17.925454028925621</v>
      </c>
      <c r="AY108" t="str">
        <f t="shared" si="122"/>
        <v>VAR</v>
      </c>
      <c r="AZ108">
        <f t="shared" si="123"/>
        <v>41.384699999999995</v>
      </c>
      <c r="BA108">
        <f>MAX(VLOOKUP(VLOOKUP(C108,descmarche,28,FALSE),pxlingot,D108-2010,FALSE),AX108)</f>
        <v>17.925454028925621</v>
      </c>
      <c r="BB108">
        <f t="shared" si="98"/>
        <v>8675.9197500000009</v>
      </c>
      <c r="BC108" t="str">
        <f t="shared" si="124"/>
        <v>Circ 1</v>
      </c>
    </row>
    <row r="109" spans="1:55" x14ac:dyDescent="0.25">
      <c r="A109" t="s">
        <v>69</v>
      </c>
      <c r="B109" s="4" t="s">
        <v>42</v>
      </c>
      <c r="C109" t="str">
        <f t="shared" si="101"/>
        <v>EcoTi-01</v>
      </c>
      <c r="D109">
        <v>2018</v>
      </c>
      <c r="E109">
        <v>600</v>
      </c>
      <c r="F109" t="str">
        <f t="shared" si="65"/>
        <v>Airbus pour AD</v>
      </c>
      <c r="G109" t="str">
        <f t="shared" si="102"/>
        <v>Airbus via EcoTi (DoorFrames)</v>
      </c>
      <c r="H109" t="str">
        <f t="shared" si="103"/>
        <v>Structure</v>
      </c>
      <c r="I109">
        <f t="shared" si="104"/>
        <v>5</v>
      </c>
      <c r="J109">
        <f t="shared" si="105"/>
        <v>1210</v>
      </c>
      <c r="K109">
        <f t="shared" si="106"/>
        <v>600</v>
      </c>
      <c r="L109">
        <f t="shared" si="107"/>
        <v>726</v>
      </c>
      <c r="M109">
        <f t="shared" si="108"/>
        <v>31.499999999999993</v>
      </c>
      <c r="N109">
        <f t="shared" si="109"/>
        <v>34.65</v>
      </c>
      <c r="O109" t="str">
        <f t="shared" si="110"/>
        <v>Circ 1</v>
      </c>
      <c r="P109">
        <f>VLOOKUP(O109,pxmassif,D109-2010,FALSE)*M109</f>
        <v>31.499999999999993</v>
      </c>
      <c r="Q109">
        <f>VLOOKUP(O109,pxcopeau,D109-2010,FALSE)*N109</f>
        <v>20.79</v>
      </c>
      <c r="R109" t="str">
        <f t="shared" si="111"/>
        <v>AD PAMIERS</v>
      </c>
      <c r="S109">
        <f t="shared" si="112"/>
        <v>125.39999999999999</v>
      </c>
      <c r="T109">
        <f t="shared" si="113"/>
        <v>0</v>
      </c>
      <c r="U109" t="str">
        <f t="shared" si="114"/>
        <v>Circ 1</v>
      </c>
      <c r="V109">
        <f>VLOOKUP(U109,pxmassif,$D109-2010,FALSE)*S109</f>
        <v>125.39999999999999</v>
      </c>
      <c r="W109">
        <f>VLOOKUP(U109,pxcopeau,$D109-2010,FALSE)*T109</f>
        <v>0</v>
      </c>
      <c r="X109" t="str">
        <f t="shared" si="115"/>
        <v>Client</v>
      </c>
      <c r="Y109">
        <f t="shared" si="116"/>
        <v>0</v>
      </c>
      <c r="Z109">
        <f t="shared" si="117"/>
        <v>408.00000000000006</v>
      </c>
      <c r="AA109" t="str">
        <f t="shared" si="118"/>
        <v>Circ 1</v>
      </c>
      <c r="AB109">
        <f>VLOOKUP(AA109,pxmassif,$D109-2010,FALSE)*Y109</f>
        <v>0</v>
      </c>
      <c r="AC109">
        <f>VLOOKUP(AA109,pxcopeau,$D109-2010,FALSE)*Z109</f>
        <v>244.8</v>
      </c>
      <c r="AD109">
        <f t="shared" si="88"/>
        <v>156.89999999999998</v>
      </c>
      <c r="AE109">
        <f t="shared" si="89"/>
        <v>34.65</v>
      </c>
      <c r="AF109">
        <f t="shared" si="90"/>
        <v>66.149999999999991</v>
      </c>
      <c r="AG109">
        <f t="shared" si="91"/>
        <v>125.39999999999999</v>
      </c>
      <c r="AH109">
        <f t="shared" si="92"/>
        <v>408.00000000000006</v>
      </c>
      <c r="AI109">
        <f t="shared" si="93"/>
        <v>156.89999999999998</v>
      </c>
      <c r="AJ109">
        <f t="shared" si="94"/>
        <v>442.65000000000003</v>
      </c>
      <c r="AK109">
        <f t="shared" si="119"/>
        <v>540.64424999999994</v>
      </c>
      <c r="AL109">
        <f t="shared" si="120"/>
        <v>185.35575000000003</v>
      </c>
      <c r="AM109">
        <f>IFERROR(MIN(AL109,VLOOKUP(CONCATENATE(C109,"-to lingot"),negchutes,D109-2007,FALSE)),0)</f>
        <v>0</v>
      </c>
      <c r="AN109">
        <f t="shared" si="95"/>
        <v>185.35575000000003</v>
      </c>
      <c r="AO109" t="str">
        <f t="shared" si="125"/>
        <v>Circ 1</v>
      </c>
      <c r="AP109">
        <f>IF(AR109=0,0,IFERROR(VLOOKUP(CONCATENATE($C109,"-to massif"),negchutes,$D109-2007,FALSE),0)*AM109/AR109)</f>
        <v>0</v>
      </c>
      <c r="AQ109">
        <f>IF(AR109=0,0,IFERROR(VLOOKUP(CONCATENATE($C109,"-to copeaux"),negchutes,$D109-2007,FALSE),0)*AM109/AR109)</f>
        <v>0</v>
      </c>
      <c r="AR109">
        <f>IFERROR(VLOOKUP(CONCATENATE($C109,"-to lingot"),negchutes,$D109-2007,FALSE),0)</f>
        <v>0</v>
      </c>
      <c r="AS109">
        <f>IF(AR109=0,0,AP109*VLOOKUP(CONCATENATE($C109,"-ac massif"),negchutes,$D109-2007,FALSE))</f>
        <v>0</v>
      </c>
      <c r="AT109">
        <f>IF(AR109=0,0,AQ109*VLOOKUP(CONCATENATE($C109,"-ac copeaux"),negchutes,$D109-2007,FALSE))</f>
        <v>0</v>
      </c>
      <c r="AU109">
        <f t="shared" si="121"/>
        <v>8379.9858749999985</v>
      </c>
      <c r="AV109">
        <f>IFERROR(VLOOKUP(CONCATENATE(C109,"-px lingot"),negchutes,D109-2007,FALSE),0)*AM109</f>
        <v>0</v>
      </c>
      <c r="AW109">
        <f>AN109*VLOOKUP("Marché 1",pxlingot,D109-2010,FALSE)</f>
        <v>4633.8937500000011</v>
      </c>
      <c r="AX109">
        <f t="shared" si="97"/>
        <v>17.925454028925618</v>
      </c>
      <c r="AY109" t="str">
        <f t="shared" si="122"/>
        <v>VAR</v>
      </c>
      <c r="AZ109">
        <f t="shared" si="123"/>
        <v>62.077049999999986</v>
      </c>
      <c r="BA109">
        <f>MAX(VLOOKUP(VLOOKUP(C109,descmarche,28,FALSE),pxlingot,D109-2010,FALSE),AX109)</f>
        <v>17.925454028925618</v>
      </c>
      <c r="BB109">
        <f t="shared" si="98"/>
        <v>13013.879624999998</v>
      </c>
      <c r="BC109" t="str">
        <f t="shared" si="124"/>
        <v>Circ 1</v>
      </c>
    </row>
    <row r="110" spans="1:55" x14ac:dyDescent="0.25">
      <c r="A110" t="s">
        <v>69</v>
      </c>
      <c r="B110" s="4" t="s">
        <v>42</v>
      </c>
      <c r="C110" t="str">
        <f t="shared" si="101"/>
        <v>EcoTi-01</v>
      </c>
      <c r="D110">
        <v>2019</v>
      </c>
      <c r="E110">
        <v>600</v>
      </c>
      <c r="F110" t="str">
        <f t="shared" si="65"/>
        <v>Airbus pour AD</v>
      </c>
      <c r="G110" t="str">
        <f t="shared" si="102"/>
        <v>Airbus via EcoTi (DoorFrames)</v>
      </c>
      <c r="H110" t="str">
        <f t="shared" si="103"/>
        <v>Structure</v>
      </c>
      <c r="I110">
        <f t="shared" si="104"/>
        <v>5</v>
      </c>
      <c r="J110">
        <f t="shared" si="105"/>
        <v>1210</v>
      </c>
      <c r="K110">
        <f t="shared" si="106"/>
        <v>600</v>
      </c>
      <c r="L110">
        <f t="shared" si="107"/>
        <v>726</v>
      </c>
      <c r="M110">
        <f t="shared" si="108"/>
        <v>31.499999999999993</v>
      </c>
      <c r="N110">
        <f t="shared" si="109"/>
        <v>34.65</v>
      </c>
      <c r="O110" t="str">
        <f t="shared" si="110"/>
        <v>Circ 1</v>
      </c>
      <c r="P110">
        <f>VLOOKUP(O110,pxmassif,D110-2010,FALSE)*M110</f>
        <v>31.499999999999993</v>
      </c>
      <c r="Q110">
        <f>VLOOKUP(O110,pxcopeau,D110-2010,FALSE)*N110</f>
        <v>20.79</v>
      </c>
      <c r="R110" t="str">
        <f t="shared" si="111"/>
        <v>AD PAMIERS</v>
      </c>
      <c r="S110">
        <f t="shared" si="112"/>
        <v>125.39999999999999</v>
      </c>
      <c r="T110">
        <f t="shared" si="113"/>
        <v>0</v>
      </c>
      <c r="U110" t="str">
        <f t="shared" si="114"/>
        <v>Circ 1</v>
      </c>
      <c r="V110">
        <f>VLOOKUP(U110,pxmassif,$D110-2010,FALSE)*S110</f>
        <v>125.39999999999999</v>
      </c>
      <c r="W110">
        <f>VLOOKUP(U110,pxcopeau,$D110-2010,FALSE)*T110</f>
        <v>0</v>
      </c>
      <c r="X110" t="str">
        <f t="shared" si="115"/>
        <v>Client</v>
      </c>
      <c r="Y110">
        <f t="shared" si="116"/>
        <v>0</v>
      </c>
      <c r="Z110">
        <f t="shared" si="117"/>
        <v>408.00000000000006</v>
      </c>
      <c r="AA110" t="str">
        <f t="shared" si="118"/>
        <v>Circ 1</v>
      </c>
      <c r="AB110">
        <f>VLOOKUP(AA110,pxmassif,$D110-2010,FALSE)*Y110</f>
        <v>0</v>
      </c>
      <c r="AC110">
        <f>VLOOKUP(AA110,pxcopeau,$D110-2010,FALSE)*Z110</f>
        <v>244.8</v>
      </c>
      <c r="AD110">
        <f t="shared" si="88"/>
        <v>156.89999999999998</v>
      </c>
      <c r="AE110">
        <f t="shared" si="89"/>
        <v>34.65</v>
      </c>
      <c r="AF110">
        <f t="shared" si="90"/>
        <v>66.149999999999991</v>
      </c>
      <c r="AG110">
        <f t="shared" si="91"/>
        <v>125.39999999999999</v>
      </c>
      <c r="AH110">
        <f t="shared" si="92"/>
        <v>408.00000000000006</v>
      </c>
      <c r="AI110">
        <f t="shared" si="93"/>
        <v>156.89999999999998</v>
      </c>
      <c r="AJ110">
        <f t="shared" si="94"/>
        <v>442.65000000000003</v>
      </c>
      <c r="AK110">
        <f t="shared" si="119"/>
        <v>540.64424999999994</v>
      </c>
      <c r="AL110">
        <f t="shared" si="120"/>
        <v>185.35575000000003</v>
      </c>
      <c r="AM110">
        <f>IFERROR(MIN(AL110,VLOOKUP(CONCATENATE(C110,"-to lingot"),negchutes,D110-2007,FALSE)),0)</f>
        <v>0</v>
      </c>
      <c r="AN110">
        <f t="shared" si="95"/>
        <v>185.35575000000003</v>
      </c>
      <c r="AO110" t="str">
        <f t="shared" si="125"/>
        <v>Circ 1</v>
      </c>
      <c r="AP110">
        <f>IF(AR110=0,0,IFERROR(VLOOKUP(CONCATENATE($C110,"-to massif"),negchutes,$D110-2007,FALSE),0)*AM110/AR110)</f>
        <v>0</v>
      </c>
      <c r="AQ110">
        <f>IF(AR110=0,0,IFERROR(VLOOKUP(CONCATENATE($C110,"-to copeaux"),negchutes,$D110-2007,FALSE),0)*AM110/AR110)</f>
        <v>0</v>
      </c>
      <c r="AR110">
        <f>IFERROR(VLOOKUP(CONCATENATE($C110,"-to lingot"),negchutes,$D110-2007,FALSE),0)</f>
        <v>0</v>
      </c>
      <c r="AS110">
        <f>IF(AR110=0,0,AP110*VLOOKUP(CONCATENATE($C110,"-ac massif"),negchutes,$D110-2007,FALSE))</f>
        <v>0</v>
      </c>
      <c r="AT110">
        <f>IF(AR110=0,0,AQ110*VLOOKUP(CONCATENATE($C110,"-ac copeaux"),negchutes,$D110-2007,FALSE))</f>
        <v>0</v>
      </c>
      <c r="AU110">
        <f t="shared" si="121"/>
        <v>8379.9858749999985</v>
      </c>
      <c r="AV110">
        <f>IFERROR(VLOOKUP(CONCATENATE(C110,"-px lingot"),negchutes,D110-2007,FALSE),0)*AM110</f>
        <v>0</v>
      </c>
      <c r="AW110">
        <f>AN110*VLOOKUP("Marché 1",pxlingot,D110-2010,FALSE)</f>
        <v>4633.8937500000011</v>
      </c>
      <c r="AX110">
        <f t="shared" si="97"/>
        <v>17.925454028925618</v>
      </c>
      <c r="AY110" t="str">
        <f t="shared" si="122"/>
        <v>VAR</v>
      </c>
      <c r="AZ110">
        <f t="shared" si="123"/>
        <v>62.077049999999986</v>
      </c>
      <c r="BA110">
        <f>MAX(VLOOKUP(VLOOKUP(C110,descmarche,28,FALSE),pxlingot,D110-2010,FALSE),AX110)</f>
        <v>17.925454028925618</v>
      </c>
      <c r="BB110">
        <f t="shared" si="98"/>
        <v>13013.879624999998</v>
      </c>
      <c r="BC110" t="str">
        <f t="shared" si="124"/>
        <v>Circ 1</v>
      </c>
    </row>
    <row r="111" spans="1:55" x14ac:dyDescent="0.25">
      <c r="A111" t="s">
        <v>69</v>
      </c>
      <c r="B111" s="4" t="s">
        <v>42</v>
      </c>
      <c r="C111" t="str">
        <f t="shared" si="101"/>
        <v>EcoTi-01</v>
      </c>
      <c r="D111">
        <v>2020</v>
      </c>
      <c r="E111">
        <v>600</v>
      </c>
      <c r="F111" t="str">
        <f t="shared" si="65"/>
        <v>Airbus pour AD</v>
      </c>
      <c r="G111" t="str">
        <f t="shared" si="102"/>
        <v>Airbus via EcoTi (DoorFrames)</v>
      </c>
      <c r="H111" t="str">
        <f t="shared" si="103"/>
        <v>Structure</v>
      </c>
      <c r="I111">
        <f t="shared" si="104"/>
        <v>5</v>
      </c>
      <c r="J111">
        <f t="shared" si="105"/>
        <v>1210</v>
      </c>
      <c r="K111">
        <f t="shared" si="106"/>
        <v>600</v>
      </c>
      <c r="L111">
        <f t="shared" si="107"/>
        <v>726</v>
      </c>
      <c r="M111">
        <f t="shared" si="108"/>
        <v>31.499999999999993</v>
      </c>
      <c r="N111">
        <f t="shared" si="109"/>
        <v>34.65</v>
      </c>
      <c r="O111" t="str">
        <f t="shared" si="110"/>
        <v>Circ 1</v>
      </c>
      <c r="P111">
        <f>VLOOKUP(O111,pxmassif,D111-2010,FALSE)*M111</f>
        <v>31.499999999999993</v>
      </c>
      <c r="Q111">
        <f>VLOOKUP(O111,pxcopeau,D111-2010,FALSE)*N111</f>
        <v>20.79</v>
      </c>
      <c r="R111" t="str">
        <f t="shared" si="111"/>
        <v>AD PAMIERS</v>
      </c>
      <c r="S111">
        <f t="shared" si="112"/>
        <v>125.39999999999999</v>
      </c>
      <c r="T111">
        <f t="shared" si="113"/>
        <v>0</v>
      </c>
      <c r="U111" t="str">
        <f t="shared" si="114"/>
        <v>Circ 1</v>
      </c>
      <c r="V111">
        <f>VLOOKUP(U111,pxmassif,$D111-2010,FALSE)*S111</f>
        <v>125.39999999999999</v>
      </c>
      <c r="W111">
        <f>VLOOKUP(U111,pxcopeau,$D111-2010,FALSE)*T111</f>
        <v>0</v>
      </c>
      <c r="X111" t="str">
        <f t="shared" si="115"/>
        <v>Client</v>
      </c>
      <c r="Y111">
        <f t="shared" si="116"/>
        <v>0</v>
      </c>
      <c r="Z111">
        <f t="shared" si="117"/>
        <v>408.00000000000006</v>
      </c>
      <c r="AA111" t="str">
        <f t="shared" si="118"/>
        <v>Circ 1</v>
      </c>
      <c r="AB111">
        <f>VLOOKUP(AA111,pxmassif,$D111-2010,FALSE)*Y111</f>
        <v>0</v>
      </c>
      <c r="AC111">
        <f>VLOOKUP(AA111,pxcopeau,$D111-2010,FALSE)*Z111</f>
        <v>244.8</v>
      </c>
      <c r="AD111">
        <f t="shared" si="88"/>
        <v>156.89999999999998</v>
      </c>
      <c r="AE111">
        <f t="shared" si="89"/>
        <v>34.65</v>
      </c>
      <c r="AF111">
        <f t="shared" si="90"/>
        <v>66.149999999999991</v>
      </c>
      <c r="AG111">
        <f t="shared" si="91"/>
        <v>125.39999999999999</v>
      </c>
      <c r="AH111">
        <f t="shared" si="92"/>
        <v>408.00000000000006</v>
      </c>
      <c r="AI111">
        <f t="shared" si="93"/>
        <v>156.89999999999998</v>
      </c>
      <c r="AJ111">
        <f t="shared" si="94"/>
        <v>442.65000000000003</v>
      </c>
      <c r="AK111">
        <f t="shared" si="119"/>
        <v>540.64424999999994</v>
      </c>
      <c r="AL111">
        <f t="shared" si="120"/>
        <v>185.35575000000003</v>
      </c>
      <c r="AM111">
        <f>IFERROR(MIN(AL111,VLOOKUP(CONCATENATE(C111,"-to lingot"),negchutes,D111-2007,FALSE)),0)</f>
        <v>0</v>
      </c>
      <c r="AN111">
        <f t="shared" si="95"/>
        <v>185.35575000000003</v>
      </c>
      <c r="AO111" t="str">
        <f t="shared" si="125"/>
        <v>Circ 1</v>
      </c>
      <c r="AP111">
        <f>IF(AR111=0,0,IFERROR(VLOOKUP(CONCATENATE($C111,"-to massif"),negchutes,$D111-2007,FALSE),0)*AM111/AR111)</f>
        <v>0</v>
      </c>
      <c r="AQ111">
        <f>IF(AR111=0,0,IFERROR(VLOOKUP(CONCATENATE($C111,"-to copeaux"),negchutes,$D111-2007,FALSE),0)*AM111/AR111)</f>
        <v>0</v>
      </c>
      <c r="AR111">
        <f>IFERROR(VLOOKUP(CONCATENATE($C111,"-to lingot"),negchutes,$D111-2007,FALSE),0)</f>
        <v>0</v>
      </c>
      <c r="AS111">
        <f>IF(AR111=0,0,AP111*VLOOKUP(CONCATENATE($C111,"-ac massif"),negchutes,$D111-2007,FALSE))</f>
        <v>0</v>
      </c>
      <c r="AT111">
        <f>IF(AR111=0,0,AQ111*VLOOKUP(CONCATENATE($C111,"-ac copeaux"),negchutes,$D111-2007,FALSE))</f>
        <v>0</v>
      </c>
      <c r="AU111">
        <f t="shared" si="121"/>
        <v>8379.9858749999985</v>
      </c>
      <c r="AV111">
        <f>IFERROR(VLOOKUP(CONCATENATE(C111,"-px lingot"),negchutes,D111-2007,FALSE),0)*AM111</f>
        <v>0</v>
      </c>
      <c r="AW111">
        <f>AN111*VLOOKUP("Marché 1",pxlingot,D111-2010,FALSE)</f>
        <v>4633.8937500000011</v>
      </c>
      <c r="AX111">
        <f t="shared" si="97"/>
        <v>17.925454028925618</v>
      </c>
      <c r="AY111" t="str">
        <f t="shared" si="122"/>
        <v>VAR</v>
      </c>
      <c r="AZ111">
        <f t="shared" si="123"/>
        <v>62.077049999999986</v>
      </c>
      <c r="BA111">
        <f>MAX(VLOOKUP(VLOOKUP(C111,descmarche,28,FALSE),pxlingot,D111-2010,FALSE),AX111)</f>
        <v>17.925454028925618</v>
      </c>
      <c r="BB111">
        <f t="shared" si="98"/>
        <v>13013.879624999998</v>
      </c>
      <c r="BC111" t="str">
        <f t="shared" si="124"/>
        <v>Circ 1</v>
      </c>
    </row>
    <row r="112" spans="1:55" x14ac:dyDescent="0.25">
      <c r="A112" t="s">
        <v>69</v>
      </c>
      <c r="B112" s="4" t="s">
        <v>42</v>
      </c>
      <c r="C112" t="str">
        <f t="shared" si="101"/>
        <v>EcoTi-01</v>
      </c>
      <c r="D112">
        <v>2021</v>
      </c>
      <c r="E112">
        <v>600</v>
      </c>
      <c r="F112" t="str">
        <f t="shared" si="65"/>
        <v>Airbus pour AD</v>
      </c>
      <c r="G112" t="str">
        <f t="shared" si="102"/>
        <v>Airbus via EcoTi (DoorFrames)</v>
      </c>
      <c r="H112" t="str">
        <f t="shared" si="103"/>
        <v>Structure</v>
      </c>
      <c r="I112">
        <f t="shared" si="104"/>
        <v>5</v>
      </c>
      <c r="J112">
        <f t="shared" si="105"/>
        <v>1210</v>
      </c>
      <c r="K112">
        <f t="shared" si="106"/>
        <v>600</v>
      </c>
      <c r="L112">
        <f t="shared" si="107"/>
        <v>726</v>
      </c>
      <c r="M112">
        <f t="shared" si="108"/>
        <v>31.499999999999993</v>
      </c>
      <c r="N112">
        <f t="shared" si="109"/>
        <v>34.65</v>
      </c>
      <c r="O112" t="str">
        <f t="shared" si="110"/>
        <v>Circ 1</v>
      </c>
      <c r="P112">
        <f>VLOOKUP(O112,pxmassif,D112-2010,FALSE)*M112</f>
        <v>31.499999999999993</v>
      </c>
      <c r="Q112">
        <f>VLOOKUP(O112,pxcopeau,D112-2010,FALSE)*N112</f>
        <v>20.79</v>
      </c>
      <c r="R112" t="str">
        <f t="shared" si="111"/>
        <v>AD PAMIERS</v>
      </c>
      <c r="S112">
        <f t="shared" si="112"/>
        <v>125.39999999999999</v>
      </c>
      <c r="T112">
        <f t="shared" si="113"/>
        <v>0</v>
      </c>
      <c r="U112" t="str">
        <f t="shared" si="114"/>
        <v>Circ 1</v>
      </c>
      <c r="V112">
        <f>VLOOKUP(U112,pxmassif,$D112-2010,FALSE)*S112</f>
        <v>125.39999999999999</v>
      </c>
      <c r="W112">
        <f>VLOOKUP(U112,pxcopeau,$D112-2010,FALSE)*T112</f>
        <v>0</v>
      </c>
      <c r="X112" t="str">
        <f t="shared" si="115"/>
        <v>Client</v>
      </c>
      <c r="Y112">
        <f t="shared" si="116"/>
        <v>0</v>
      </c>
      <c r="Z112">
        <f t="shared" si="117"/>
        <v>408.00000000000006</v>
      </c>
      <c r="AA112" t="str">
        <f t="shared" si="118"/>
        <v>Circ 1</v>
      </c>
      <c r="AB112">
        <f>VLOOKUP(AA112,pxmassif,$D112-2010,FALSE)*Y112</f>
        <v>0</v>
      </c>
      <c r="AC112">
        <f>VLOOKUP(AA112,pxcopeau,$D112-2010,FALSE)*Z112</f>
        <v>244.8</v>
      </c>
      <c r="AD112">
        <f t="shared" si="88"/>
        <v>156.89999999999998</v>
      </c>
      <c r="AE112">
        <f t="shared" si="89"/>
        <v>34.65</v>
      </c>
      <c r="AF112">
        <f t="shared" si="90"/>
        <v>66.149999999999991</v>
      </c>
      <c r="AG112">
        <f t="shared" si="91"/>
        <v>125.39999999999999</v>
      </c>
      <c r="AH112">
        <f t="shared" si="92"/>
        <v>408.00000000000006</v>
      </c>
      <c r="AI112">
        <f t="shared" si="93"/>
        <v>156.89999999999998</v>
      </c>
      <c r="AJ112">
        <f t="shared" si="94"/>
        <v>442.65000000000003</v>
      </c>
      <c r="AK112">
        <f t="shared" si="119"/>
        <v>540.64424999999994</v>
      </c>
      <c r="AL112">
        <f t="shared" si="120"/>
        <v>185.35575000000003</v>
      </c>
      <c r="AM112">
        <f>IFERROR(MIN(AL112,VLOOKUP(CONCATENATE(C112,"-to lingot"),negchutes,D112-2007,FALSE)),0)</f>
        <v>0</v>
      </c>
      <c r="AN112">
        <f t="shared" si="95"/>
        <v>185.35575000000003</v>
      </c>
      <c r="AO112" t="str">
        <f t="shared" si="125"/>
        <v>Circ 1</v>
      </c>
      <c r="AP112">
        <f>IF(AR112=0,0,IFERROR(VLOOKUP(CONCATENATE($C112,"-to massif"),negchutes,$D112-2007,FALSE),0)*AM112/AR112)</f>
        <v>0</v>
      </c>
      <c r="AQ112">
        <f>IF(AR112=0,0,IFERROR(VLOOKUP(CONCATENATE($C112,"-to copeaux"),negchutes,$D112-2007,FALSE),0)*AM112/AR112)</f>
        <v>0</v>
      </c>
      <c r="AR112">
        <f>IFERROR(VLOOKUP(CONCATENATE($C112,"-to lingot"),negchutes,$D112-2007,FALSE),0)</f>
        <v>0</v>
      </c>
      <c r="AS112">
        <f>IF(AR112=0,0,AP112*VLOOKUP(CONCATENATE($C112,"-ac massif"),negchutes,$D112-2007,FALSE))</f>
        <v>0</v>
      </c>
      <c r="AT112">
        <f>IF(AR112=0,0,AQ112*VLOOKUP(CONCATENATE($C112,"-ac copeaux"),negchutes,$D112-2007,FALSE))</f>
        <v>0</v>
      </c>
      <c r="AU112">
        <f t="shared" si="121"/>
        <v>8379.9858749999985</v>
      </c>
      <c r="AV112">
        <f>IFERROR(VLOOKUP(CONCATENATE(C112,"-px lingot"),negchutes,D112-2007,FALSE),0)*AM112</f>
        <v>0</v>
      </c>
      <c r="AW112">
        <f>AN112*VLOOKUP("Marché 1",pxlingot,D112-2010,FALSE)</f>
        <v>4633.8937500000011</v>
      </c>
      <c r="AX112">
        <f t="shared" si="97"/>
        <v>17.925454028925618</v>
      </c>
      <c r="AY112" t="str">
        <f t="shared" si="122"/>
        <v>VAR</v>
      </c>
      <c r="AZ112">
        <f t="shared" si="123"/>
        <v>62.077049999999986</v>
      </c>
      <c r="BA112">
        <f>MAX(VLOOKUP(VLOOKUP(C112,descmarche,28,FALSE),pxlingot,D112-2010,FALSE),AX112)</f>
        <v>17.925454028925618</v>
      </c>
      <c r="BB112">
        <f t="shared" si="98"/>
        <v>13013.879624999998</v>
      </c>
      <c r="BC112" t="str">
        <f t="shared" si="124"/>
        <v>Circ 1</v>
      </c>
    </row>
    <row r="113" spans="1:55" x14ac:dyDescent="0.25">
      <c r="A113" t="s">
        <v>69</v>
      </c>
      <c r="B113" s="4" t="s">
        <v>42</v>
      </c>
      <c r="C113" t="str">
        <f t="shared" si="101"/>
        <v>EcoTi-01</v>
      </c>
      <c r="D113">
        <v>2022</v>
      </c>
      <c r="E113">
        <v>600</v>
      </c>
      <c r="F113" t="str">
        <f t="shared" si="65"/>
        <v>Airbus pour AD</v>
      </c>
      <c r="G113" t="str">
        <f t="shared" si="102"/>
        <v>Airbus via EcoTi (DoorFrames)</v>
      </c>
      <c r="H113" t="str">
        <f t="shared" si="103"/>
        <v>Structure</v>
      </c>
      <c r="I113">
        <f t="shared" si="104"/>
        <v>5</v>
      </c>
      <c r="J113">
        <f t="shared" si="105"/>
        <v>1210</v>
      </c>
      <c r="K113">
        <f t="shared" si="106"/>
        <v>600</v>
      </c>
      <c r="L113">
        <f t="shared" si="107"/>
        <v>726</v>
      </c>
      <c r="M113">
        <f t="shared" si="108"/>
        <v>31.499999999999993</v>
      </c>
      <c r="N113">
        <f t="shared" si="109"/>
        <v>34.65</v>
      </c>
      <c r="O113" t="str">
        <f t="shared" si="110"/>
        <v>Circ 1</v>
      </c>
      <c r="P113">
        <f>VLOOKUP(O113,pxmassif,D113-2010,FALSE)*M113</f>
        <v>31.499999999999993</v>
      </c>
      <c r="Q113">
        <f>VLOOKUP(O113,pxcopeau,D113-2010,FALSE)*N113</f>
        <v>20.79</v>
      </c>
      <c r="R113" t="str">
        <f t="shared" si="111"/>
        <v>AD PAMIERS</v>
      </c>
      <c r="S113">
        <f t="shared" si="112"/>
        <v>125.39999999999999</v>
      </c>
      <c r="T113">
        <f t="shared" si="113"/>
        <v>0</v>
      </c>
      <c r="U113" t="str">
        <f t="shared" si="114"/>
        <v>Circ 1</v>
      </c>
      <c r="V113">
        <f>VLOOKUP(U113,pxmassif,$D113-2010,FALSE)*S113</f>
        <v>125.39999999999999</v>
      </c>
      <c r="W113">
        <f>VLOOKUP(U113,pxcopeau,$D113-2010,FALSE)*T113</f>
        <v>0</v>
      </c>
      <c r="X113" t="str">
        <f t="shared" si="115"/>
        <v>Client</v>
      </c>
      <c r="Y113">
        <f t="shared" si="116"/>
        <v>0</v>
      </c>
      <c r="Z113">
        <f t="shared" si="117"/>
        <v>408.00000000000006</v>
      </c>
      <c r="AA113" t="str">
        <f t="shared" si="118"/>
        <v>Circ 1</v>
      </c>
      <c r="AB113">
        <f>VLOOKUP(AA113,pxmassif,$D113-2010,FALSE)*Y113</f>
        <v>0</v>
      </c>
      <c r="AC113">
        <f>VLOOKUP(AA113,pxcopeau,$D113-2010,FALSE)*Z113</f>
        <v>244.8</v>
      </c>
      <c r="AD113">
        <f t="shared" si="88"/>
        <v>156.89999999999998</v>
      </c>
      <c r="AE113">
        <f t="shared" si="89"/>
        <v>34.65</v>
      </c>
      <c r="AF113">
        <f t="shared" si="90"/>
        <v>66.149999999999991</v>
      </c>
      <c r="AG113">
        <f t="shared" si="91"/>
        <v>125.39999999999999</v>
      </c>
      <c r="AH113">
        <f t="shared" si="92"/>
        <v>408.00000000000006</v>
      </c>
      <c r="AI113">
        <f t="shared" si="93"/>
        <v>156.89999999999998</v>
      </c>
      <c r="AJ113">
        <f t="shared" si="94"/>
        <v>442.65000000000003</v>
      </c>
      <c r="AK113">
        <f t="shared" si="119"/>
        <v>540.64424999999994</v>
      </c>
      <c r="AL113">
        <f t="shared" si="120"/>
        <v>185.35575000000003</v>
      </c>
      <c r="AM113">
        <f>IFERROR(MIN(AL113,VLOOKUP(CONCATENATE(C113,"-to lingot"),negchutes,D113-2007,FALSE)),0)</f>
        <v>0</v>
      </c>
      <c r="AN113">
        <f t="shared" si="95"/>
        <v>185.35575000000003</v>
      </c>
      <c r="AO113" t="str">
        <f t="shared" si="125"/>
        <v>Circ 1</v>
      </c>
      <c r="AP113">
        <f>IF(AR113=0,0,IFERROR(VLOOKUP(CONCATENATE($C113,"-to massif"),negchutes,$D113-2007,FALSE),0)*AM113/AR113)</f>
        <v>0</v>
      </c>
      <c r="AQ113">
        <f>IF(AR113=0,0,IFERROR(VLOOKUP(CONCATENATE($C113,"-to copeaux"),negchutes,$D113-2007,FALSE),0)*AM113/AR113)</f>
        <v>0</v>
      </c>
      <c r="AR113">
        <f>IFERROR(VLOOKUP(CONCATENATE($C113,"-to lingot"),negchutes,$D113-2007,FALSE),0)</f>
        <v>0</v>
      </c>
      <c r="AS113">
        <f>IF(AR113=0,0,AP113*VLOOKUP(CONCATENATE($C113,"-ac massif"),negchutes,$D113-2007,FALSE))</f>
        <v>0</v>
      </c>
      <c r="AT113">
        <f>IF(AR113=0,0,AQ113*VLOOKUP(CONCATENATE($C113,"-ac copeaux"),negchutes,$D113-2007,FALSE))</f>
        <v>0</v>
      </c>
      <c r="AU113">
        <f t="shared" si="121"/>
        <v>8379.9858749999985</v>
      </c>
      <c r="AV113">
        <f>IFERROR(VLOOKUP(CONCATENATE(C113,"-px lingot"),negchutes,D113-2007,FALSE),0)*AM113</f>
        <v>0</v>
      </c>
      <c r="AW113">
        <f>AN113*VLOOKUP("Marché 1",pxlingot,D113-2010,FALSE)</f>
        <v>4633.8937500000011</v>
      </c>
      <c r="AX113">
        <f t="shared" si="97"/>
        <v>17.925454028925618</v>
      </c>
      <c r="AY113" t="str">
        <f t="shared" si="122"/>
        <v>VAR</v>
      </c>
      <c r="AZ113">
        <f t="shared" si="123"/>
        <v>62.077049999999986</v>
      </c>
      <c r="BA113">
        <f>MAX(VLOOKUP(VLOOKUP(C113,descmarche,28,FALSE),pxlingot,D113-2010,FALSE),AX113)</f>
        <v>17.925454028925618</v>
      </c>
      <c r="BB113">
        <f t="shared" si="98"/>
        <v>13013.879624999998</v>
      </c>
      <c r="BC113" t="str">
        <f t="shared" si="124"/>
        <v>Circ 1</v>
      </c>
    </row>
    <row r="114" spans="1:55" x14ac:dyDescent="0.25">
      <c r="A114" t="s">
        <v>69</v>
      </c>
      <c r="B114" s="4" t="s">
        <v>42</v>
      </c>
      <c r="C114" t="str">
        <f t="shared" si="101"/>
        <v>EcoTi-01</v>
      </c>
      <c r="D114">
        <v>2023</v>
      </c>
      <c r="E114">
        <v>600</v>
      </c>
      <c r="F114" t="str">
        <f t="shared" si="65"/>
        <v>Airbus pour AD</v>
      </c>
      <c r="G114" t="str">
        <f t="shared" si="102"/>
        <v>Airbus via EcoTi (DoorFrames)</v>
      </c>
      <c r="H114" t="str">
        <f t="shared" si="103"/>
        <v>Structure</v>
      </c>
      <c r="I114">
        <f t="shared" si="104"/>
        <v>5</v>
      </c>
      <c r="J114">
        <f t="shared" si="105"/>
        <v>1210</v>
      </c>
      <c r="K114">
        <f t="shared" si="106"/>
        <v>600</v>
      </c>
      <c r="L114">
        <f t="shared" si="107"/>
        <v>726</v>
      </c>
      <c r="M114">
        <f t="shared" si="108"/>
        <v>31.499999999999993</v>
      </c>
      <c r="N114">
        <f t="shared" si="109"/>
        <v>34.65</v>
      </c>
      <c r="O114" t="str">
        <f t="shared" si="110"/>
        <v>Circ 1</v>
      </c>
      <c r="P114">
        <f>VLOOKUP(O114,pxmassif,D114-2010,FALSE)*M114</f>
        <v>31.499999999999993</v>
      </c>
      <c r="Q114">
        <f>VLOOKUP(O114,pxcopeau,D114-2010,FALSE)*N114</f>
        <v>20.79</v>
      </c>
      <c r="R114" t="str">
        <f t="shared" si="111"/>
        <v>AD PAMIERS</v>
      </c>
      <c r="S114">
        <f t="shared" si="112"/>
        <v>125.39999999999999</v>
      </c>
      <c r="T114">
        <f t="shared" si="113"/>
        <v>0</v>
      </c>
      <c r="U114" t="str">
        <f t="shared" si="114"/>
        <v>Circ 1</v>
      </c>
      <c r="V114">
        <f>VLOOKUP(U114,pxmassif,$D114-2010,FALSE)*S114</f>
        <v>125.39999999999999</v>
      </c>
      <c r="W114">
        <f>VLOOKUP(U114,pxcopeau,$D114-2010,FALSE)*T114</f>
        <v>0</v>
      </c>
      <c r="X114" t="str">
        <f t="shared" si="115"/>
        <v>Client</v>
      </c>
      <c r="Y114">
        <f t="shared" si="116"/>
        <v>0</v>
      </c>
      <c r="Z114">
        <f t="shared" si="117"/>
        <v>408.00000000000006</v>
      </c>
      <c r="AA114" t="str">
        <f t="shared" si="118"/>
        <v>Circ 1</v>
      </c>
      <c r="AB114">
        <f>VLOOKUP(AA114,pxmassif,$D114-2010,FALSE)*Y114</f>
        <v>0</v>
      </c>
      <c r="AC114">
        <f>VLOOKUP(AA114,pxcopeau,$D114-2010,FALSE)*Z114</f>
        <v>244.8</v>
      </c>
      <c r="AD114">
        <f t="shared" si="88"/>
        <v>156.89999999999998</v>
      </c>
      <c r="AE114">
        <f t="shared" si="89"/>
        <v>34.65</v>
      </c>
      <c r="AF114">
        <f t="shared" si="90"/>
        <v>66.149999999999991</v>
      </c>
      <c r="AG114">
        <f t="shared" si="91"/>
        <v>125.39999999999999</v>
      </c>
      <c r="AH114">
        <f t="shared" si="92"/>
        <v>408.00000000000006</v>
      </c>
      <c r="AI114">
        <f t="shared" si="93"/>
        <v>156.89999999999998</v>
      </c>
      <c r="AJ114">
        <f t="shared" si="94"/>
        <v>442.65000000000003</v>
      </c>
      <c r="AK114">
        <f t="shared" si="119"/>
        <v>540.64424999999994</v>
      </c>
      <c r="AL114">
        <f t="shared" si="120"/>
        <v>185.35575000000003</v>
      </c>
      <c r="AM114">
        <f>IFERROR(MIN(AL114,VLOOKUP(CONCATENATE(C114,"-to lingot"),negchutes,D114-2007,FALSE)),0)</f>
        <v>0</v>
      </c>
      <c r="AN114">
        <f t="shared" si="95"/>
        <v>185.35575000000003</v>
      </c>
      <c r="AO114" t="str">
        <f t="shared" si="125"/>
        <v>Circ 1</v>
      </c>
      <c r="AP114">
        <f>IF(AR114=0,0,IFERROR(VLOOKUP(CONCATENATE($C114,"-to massif"),negchutes,$D114-2007,FALSE),0)*AM114/AR114)</f>
        <v>0</v>
      </c>
      <c r="AQ114">
        <f>IF(AR114=0,0,IFERROR(VLOOKUP(CONCATENATE($C114,"-to copeaux"),negchutes,$D114-2007,FALSE),0)*AM114/AR114)</f>
        <v>0</v>
      </c>
      <c r="AR114">
        <f>IFERROR(VLOOKUP(CONCATENATE($C114,"-to lingot"),negchutes,$D114-2007,FALSE),0)</f>
        <v>0</v>
      </c>
      <c r="AS114">
        <f>IF(AR114=0,0,AP114*VLOOKUP(CONCATENATE($C114,"-ac massif"),negchutes,$D114-2007,FALSE))</f>
        <v>0</v>
      </c>
      <c r="AT114">
        <f>IF(AR114=0,0,AQ114*VLOOKUP(CONCATENATE($C114,"-ac copeaux"),negchutes,$D114-2007,FALSE))</f>
        <v>0</v>
      </c>
      <c r="AU114">
        <f t="shared" si="121"/>
        <v>8379.9858749999985</v>
      </c>
      <c r="AV114">
        <f>IFERROR(VLOOKUP(CONCATENATE(C114,"-px lingot"),negchutes,D114-2007,FALSE),0)*AM114</f>
        <v>0</v>
      </c>
      <c r="AW114">
        <f>AN114*VLOOKUP("Marché 1",pxlingot,D114-2010,FALSE)</f>
        <v>4633.8937500000011</v>
      </c>
      <c r="AX114">
        <f t="shared" si="97"/>
        <v>17.925454028925618</v>
      </c>
      <c r="AY114" t="str">
        <f t="shared" si="122"/>
        <v>VAR</v>
      </c>
      <c r="AZ114">
        <f t="shared" si="123"/>
        <v>62.077049999999986</v>
      </c>
      <c r="BA114">
        <f>MAX(VLOOKUP(VLOOKUP(C114,descmarche,28,FALSE),pxlingot,D114-2010,FALSE),AX114)</f>
        <v>17.925454028925618</v>
      </c>
      <c r="BB114">
        <f t="shared" si="98"/>
        <v>13013.879624999998</v>
      </c>
      <c r="BC114" t="str">
        <f t="shared" si="124"/>
        <v>Circ 1</v>
      </c>
    </row>
    <row r="115" spans="1:55" x14ac:dyDescent="0.25">
      <c r="A115" t="s">
        <v>69</v>
      </c>
      <c r="B115" s="4" t="s">
        <v>42</v>
      </c>
      <c r="C115" t="str">
        <f t="shared" si="101"/>
        <v>EcoTi-01</v>
      </c>
      <c r="D115">
        <v>2024</v>
      </c>
      <c r="E115">
        <v>600</v>
      </c>
      <c r="F115" t="str">
        <f t="shared" si="65"/>
        <v>Airbus pour AD</v>
      </c>
      <c r="G115" t="str">
        <f t="shared" si="102"/>
        <v>Airbus via EcoTi (DoorFrames)</v>
      </c>
      <c r="H115" t="str">
        <f t="shared" si="103"/>
        <v>Structure</v>
      </c>
      <c r="I115">
        <f t="shared" si="104"/>
        <v>5</v>
      </c>
      <c r="J115">
        <f t="shared" si="105"/>
        <v>1210</v>
      </c>
      <c r="K115">
        <f t="shared" si="106"/>
        <v>600</v>
      </c>
      <c r="L115">
        <f t="shared" si="107"/>
        <v>726</v>
      </c>
      <c r="M115">
        <f t="shared" si="108"/>
        <v>31.499999999999993</v>
      </c>
      <c r="N115">
        <f t="shared" si="109"/>
        <v>34.65</v>
      </c>
      <c r="O115" t="str">
        <f t="shared" si="110"/>
        <v>Circ 1</v>
      </c>
      <c r="P115">
        <f>VLOOKUP(O115,pxmassif,D115-2010,FALSE)*M115</f>
        <v>31.499999999999993</v>
      </c>
      <c r="Q115">
        <f>VLOOKUP(O115,pxcopeau,D115-2010,FALSE)*N115</f>
        <v>20.79</v>
      </c>
      <c r="R115" t="str">
        <f t="shared" si="111"/>
        <v>AD PAMIERS</v>
      </c>
      <c r="S115">
        <f t="shared" si="112"/>
        <v>125.39999999999999</v>
      </c>
      <c r="T115">
        <f t="shared" si="113"/>
        <v>0</v>
      </c>
      <c r="U115" t="str">
        <f t="shared" si="114"/>
        <v>Circ 1</v>
      </c>
      <c r="V115">
        <f>VLOOKUP(U115,pxmassif,$D115-2010,FALSE)*S115</f>
        <v>125.39999999999999</v>
      </c>
      <c r="W115">
        <f>VLOOKUP(U115,pxcopeau,$D115-2010,FALSE)*T115</f>
        <v>0</v>
      </c>
      <c r="X115" t="str">
        <f t="shared" si="115"/>
        <v>Client</v>
      </c>
      <c r="Y115">
        <f t="shared" si="116"/>
        <v>0</v>
      </c>
      <c r="Z115">
        <f t="shared" si="117"/>
        <v>408.00000000000006</v>
      </c>
      <c r="AA115" t="str">
        <f t="shared" si="118"/>
        <v>Circ 1</v>
      </c>
      <c r="AB115">
        <f>VLOOKUP(AA115,pxmassif,$D115-2010,FALSE)*Y115</f>
        <v>0</v>
      </c>
      <c r="AC115">
        <f>VLOOKUP(AA115,pxcopeau,$D115-2010,FALSE)*Z115</f>
        <v>244.8</v>
      </c>
      <c r="AD115">
        <f t="shared" si="88"/>
        <v>156.89999999999998</v>
      </c>
      <c r="AE115">
        <f t="shared" si="89"/>
        <v>34.65</v>
      </c>
      <c r="AF115">
        <f t="shared" si="90"/>
        <v>66.149999999999991</v>
      </c>
      <c r="AG115">
        <f t="shared" si="91"/>
        <v>125.39999999999999</v>
      </c>
      <c r="AH115">
        <f t="shared" si="92"/>
        <v>408.00000000000006</v>
      </c>
      <c r="AI115">
        <f t="shared" si="93"/>
        <v>156.89999999999998</v>
      </c>
      <c r="AJ115">
        <f t="shared" si="94"/>
        <v>442.65000000000003</v>
      </c>
      <c r="AK115">
        <f t="shared" si="119"/>
        <v>540.64424999999994</v>
      </c>
      <c r="AL115">
        <f t="shared" si="120"/>
        <v>185.35575000000003</v>
      </c>
      <c r="AM115">
        <f>IFERROR(MIN(AL115,VLOOKUP(CONCATENATE(C115,"-to lingot"),negchutes,D115-2007,FALSE)),0)</f>
        <v>0</v>
      </c>
      <c r="AN115">
        <f t="shared" si="95"/>
        <v>185.35575000000003</v>
      </c>
      <c r="AO115" t="str">
        <f t="shared" si="125"/>
        <v>Circ 1</v>
      </c>
      <c r="AP115">
        <f>IF(AR115=0,0,IFERROR(VLOOKUP(CONCATENATE($C115,"-to massif"),negchutes,$D115-2007,FALSE),0)*AM115/AR115)</f>
        <v>0</v>
      </c>
      <c r="AQ115">
        <f>IF(AR115=0,0,IFERROR(VLOOKUP(CONCATENATE($C115,"-to copeaux"),negchutes,$D115-2007,FALSE),0)*AM115/AR115)</f>
        <v>0</v>
      </c>
      <c r="AR115">
        <f>IFERROR(VLOOKUP(CONCATENATE($C115,"-to lingot"),negchutes,$D115-2007,FALSE),0)</f>
        <v>0</v>
      </c>
      <c r="AS115">
        <f>IF(AR115=0,0,AP115*VLOOKUP(CONCATENATE($C115,"-ac massif"),negchutes,$D115-2007,FALSE))</f>
        <v>0</v>
      </c>
      <c r="AT115">
        <f>IF(AR115=0,0,AQ115*VLOOKUP(CONCATENATE($C115,"-ac copeaux"),negchutes,$D115-2007,FALSE))</f>
        <v>0</v>
      </c>
      <c r="AU115">
        <f t="shared" si="121"/>
        <v>8379.9858749999985</v>
      </c>
      <c r="AV115">
        <f>IFERROR(VLOOKUP(CONCATENATE(C115,"-px lingot"),negchutes,D115-2007,FALSE),0)*AM115</f>
        <v>0</v>
      </c>
      <c r="AW115">
        <f>AN115*VLOOKUP("Marché 1",pxlingot,D115-2010,FALSE)</f>
        <v>4633.8937500000011</v>
      </c>
      <c r="AX115">
        <f t="shared" si="97"/>
        <v>17.925454028925618</v>
      </c>
      <c r="AY115" t="str">
        <f t="shared" si="122"/>
        <v>VAR</v>
      </c>
      <c r="AZ115">
        <f t="shared" si="123"/>
        <v>62.077049999999986</v>
      </c>
      <c r="BA115">
        <f>MAX(VLOOKUP(VLOOKUP(C115,descmarche,28,FALSE),pxlingot,D115-2010,FALSE),AX115)</f>
        <v>17.925454028925618</v>
      </c>
      <c r="BB115">
        <f t="shared" si="98"/>
        <v>13013.879624999998</v>
      </c>
      <c r="BC115" t="str">
        <f t="shared" si="124"/>
        <v>Circ 1</v>
      </c>
    </row>
    <row r="116" spans="1:55" x14ac:dyDescent="0.25">
      <c r="A116" t="s">
        <v>69</v>
      </c>
      <c r="B116" s="4" t="s">
        <v>43</v>
      </c>
      <c r="C116" t="str">
        <f t="shared" si="101"/>
        <v>EcoTi-02</v>
      </c>
      <c r="D116">
        <v>2016</v>
      </c>
      <c r="E116">
        <v>100</v>
      </c>
      <c r="F116" t="str">
        <f t="shared" si="65"/>
        <v>Autres Avionneurs</v>
      </c>
      <c r="G116" t="str">
        <f t="shared" si="102"/>
        <v>Structure hors Airbus source EcoTi</v>
      </c>
      <c r="H116" t="str">
        <f t="shared" si="103"/>
        <v>Structure</v>
      </c>
      <c r="I116">
        <f t="shared" si="104"/>
        <v>5</v>
      </c>
      <c r="J116">
        <f t="shared" si="105"/>
        <v>1210</v>
      </c>
      <c r="K116">
        <f t="shared" si="106"/>
        <v>100</v>
      </c>
      <c r="L116">
        <f t="shared" si="107"/>
        <v>121</v>
      </c>
      <c r="M116">
        <f t="shared" si="108"/>
        <v>5.2499999999999991</v>
      </c>
      <c r="N116">
        <f t="shared" si="109"/>
        <v>5.7749999999999995</v>
      </c>
      <c r="O116" t="str">
        <f t="shared" si="110"/>
        <v>Circ 1</v>
      </c>
      <c r="P116">
        <f>VLOOKUP(O116,pxmassif,D116-2010,FALSE)*M116</f>
        <v>5.2499999999999991</v>
      </c>
      <c r="Q116">
        <f>VLOOKUP(O116,pxcopeau,D116-2010,FALSE)*N116</f>
        <v>3.4649999999999994</v>
      </c>
      <c r="R116" t="str">
        <f t="shared" si="111"/>
        <v>AD PAMIERS</v>
      </c>
      <c r="S116">
        <f t="shared" si="112"/>
        <v>12.35</v>
      </c>
      <c r="T116">
        <f t="shared" si="113"/>
        <v>3.2399999999999998</v>
      </c>
      <c r="U116" t="str">
        <f t="shared" si="114"/>
        <v>Circ 1</v>
      </c>
      <c r="V116">
        <f>VLOOKUP(U116,pxmassif,$D116-2010,FALSE)*S116</f>
        <v>12.35</v>
      </c>
      <c r="W116">
        <f>VLOOKUP(U116,pxcopeau,$D116-2010,FALSE)*T116</f>
        <v>1.9439999999999997</v>
      </c>
      <c r="X116" t="str">
        <f t="shared" si="115"/>
        <v>Client</v>
      </c>
      <c r="Y116">
        <f t="shared" si="116"/>
        <v>0</v>
      </c>
      <c r="Z116">
        <f t="shared" si="117"/>
        <v>65</v>
      </c>
      <c r="AA116" t="str">
        <f t="shared" si="118"/>
        <v>Circ 1</v>
      </c>
      <c r="AB116">
        <f>VLOOKUP(AA116,pxmassif,$D116-2010,FALSE)*Y116</f>
        <v>0</v>
      </c>
      <c r="AC116">
        <f>VLOOKUP(AA116,pxcopeau,$D116-2010,FALSE)*Z116</f>
        <v>39</v>
      </c>
      <c r="AD116">
        <f t="shared" si="88"/>
        <v>17.599999999999998</v>
      </c>
      <c r="AE116">
        <f t="shared" si="89"/>
        <v>9.0149999999999988</v>
      </c>
      <c r="AF116">
        <f t="shared" si="90"/>
        <v>11.024999999999999</v>
      </c>
      <c r="AG116">
        <f t="shared" si="91"/>
        <v>15.59</v>
      </c>
      <c r="AH116">
        <f t="shared" si="92"/>
        <v>65</v>
      </c>
      <c r="AI116">
        <f t="shared" si="93"/>
        <v>17.599999999999998</v>
      </c>
      <c r="AJ116">
        <f t="shared" si="94"/>
        <v>74.015000000000001</v>
      </c>
      <c r="AK116">
        <f t="shared" si="119"/>
        <v>81.523654999999991</v>
      </c>
      <c r="AL116">
        <f t="shared" si="120"/>
        <v>39.476345000000002</v>
      </c>
      <c r="AM116">
        <f>IFERROR(MIN(AL116,VLOOKUP(CONCATENATE(C116,"-to lingot"),negchutes,D116-2007,FALSE)),0)</f>
        <v>0</v>
      </c>
      <c r="AN116">
        <f t="shared" si="95"/>
        <v>39.476345000000002</v>
      </c>
      <c r="AO116" t="str">
        <f t="shared" si="125"/>
        <v>Circ 1</v>
      </c>
      <c r="AP116">
        <f>IF(AR116=0,0,IFERROR(VLOOKUP(CONCATENATE($C116,"-to massif"),negchutes,$D116-2007,FALSE),0)*AM116/AR116)</f>
        <v>0</v>
      </c>
      <c r="AQ116">
        <f>IF(AR116=0,0,IFERROR(VLOOKUP(CONCATENATE($C116,"-to copeaux"),negchutes,$D116-2007,FALSE),0)*AM116/AR116)</f>
        <v>0</v>
      </c>
      <c r="AR116">
        <f>IFERROR(VLOOKUP(CONCATENATE($C116,"-to lingot"),negchutes,$D116-2007,FALSE),0)</f>
        <v>0</v>
      </c>
      <c r="AS116">
        <f>IF(AR116=0,0,AP116*VLOOKUP(CONCATENATE($C116,"-ac massif"),negchutes,$D116-2007,FALSE))</f>
        <v>0</v>
      </c>
      <c r="AT116">
        <f>IF(AR116=0,0,AQ116*VLOOKUP(CONCATENATE($C116,"-ac copeaux"),negchutes,$D116-2007,FALSE))</f>
        <v>0</v>
      </c>
      <c r="AU116">
        <f t="shared" si="121"/>
        <v>1263.6166524999999</v>
      </c>
      <c r="AV116">
        <f>IFERROR(VLOOKUP(CONCATENATE(C116,"-px lingot"),negchutes,D116-2007,FALSE),0)*AM116</f>
        <v>0</v>
      </c>
      <c r="AW116">
        <f>AN116*VLOOKUP("Marché 1",pxlingot,D116-2010,FALSE)</f>
        <v>986.90862500000003</v>
      </c>
      <c r="AX116">
        <f t="shared" si="97"/>
        <v>18.599382458677685</v>
      </c>
      <c r="AY116" t="str">
        <f t="shared" si="122"/>
        <v>VAR</v>
      </c>
      <c r="AZ116">
        <f t="shared" si="123"/>
        <v>10.346174999999999</v>
      </c>
      <c r="BA116">
        <f>MAX(VLOOKUP(VLOOKUP(C116,descmarche,28,FALSE),pxlingot,D116-2010,FALSE),AX116)</f>
        <v>18.599382458677685</v>
      </c>
      <c r="BB116">
        <f t="shared" si="98"/>
        <v>2250.5252774999999</v>
      </c>
      <c r="BC116" t="str">
        <f t="shared" si="124"/>
        <v>Circ 1</v>
      </c>
    </row>
    <row r="117" spans="1:55" x14ac:dyDescent="0.25">
      <c r="A117" t="s">
        <v>69</v>
      </c>
      <c r="B117" s="4" t="s">
        <v>43</v>
      </c>
      <c r="C117" t="str">
        <f t="shared" si="101"/>
        <v>EcoTi-02</v>
      </c>
      <c r="D117">
        <v>2017</v>
      </c>
      <c r="E117">
        <v>200</v>
      </c>
      <c r="F117" t="str">
        <f t="shared" si="65"/>
        <v>Autres Avionneurs</v>
      </c>
      <c r="G117" t="str">
        <f t="shared" si="102"/>
        <v>Structure hors Airbus source EcoTi</v>
      </c>
      <c r="H117" t="str">
        <f t="shared" si="103"/>
        <v>Structure</v>
      </c>
      <c r="I117">
        <f t="shared" si="104"/>
        <v>5</v>
      </c>
      <c r="J117">
        <f t="shared" si="105"/>
        <v>1210</v>
      </c>
      <c r="K117">
        <f t="shared" si="106"/>
        <v>200</v>
      </c>
      <c r="L117">
        <f t="shared" si="107"/>
        <v>242</v>
      </c>
      <c r="M117">
        <f t="shared" si="108"/>
        <v>10.499999999999998</v>
      </c>
      <c r="N117">
        <f t="shared" si="109"/>
        <v>11.549999999999999</v>
      </c>
      <c r="O117" t="str">
        <f t="shared" si="110"/>
        <v>Circ 1</v>
      </c>
      <c r="P117">
        <f>VLOOKUP(O117,pxmassif,D117-2010,FALSE)*M117</f>
        <v>10.499999999999998</v>
      </c>
      <c r="Q117">
        <f>VLOOKUP(O117,pxcopeau,D117-2010,FALSE)*N117</f>
        <v>6.9299999999999988</v>
      </c>
      <c r="R117" t="str">
        <f t="shared" si="111"/>
        <v>AD PAMIERS</v>
      </c>
      <c r="S117">
        <f t="shared" si="112"/>
        <v>24.7</v>
      </c>
      <c r="T117">
        <f t="shared" si="113"/>
        <v>6.4799999999999995</v>
      </c>
      <c r="U117" t="str">
        <f t="shared" si="114"/>
        <v>Circ 1</v>
      </c>
      <c r="V117">
        <f>VLOOKUP(U117,pxmassif,$D117-2010,FALSE)*S117</f>
        <v>24.7</v>
      </c>
      <c r="W117">
        <f>VLOOKUP(U117,pxcopeau,$D117-2010,FALSE)*T117</f>
        <v>3.8879999999999995</v>
      </c>
      <c r="X117" t="str">
        <f t="shared" si="115"/>
        <v>Client</v>
      </c>
      <c r="Y117">
        <f t="shared" si="116"/>
        <v>0</v>
      </c>
      <c r="Z117">
        <f t="shared" si="117"/>
        <v>130</v>
      </c>
      <c r="AA117" t="str">
        <f t="shared" si="118"/>
        <v>Circ 1</v>
      </c>
      <c r="AB117">
        <f>VLOOKUP(AA117,pxmassif,$D117-2010,FALSE)*Y117</f>
        <v>0</v>
      </c>
      <c r="AC117">
        <f>VLOOKUP(AA117,pxcopeau,$D117-2010,FALSE)*Z117</f>
        <v>78</v>
      </c>
      <c r="AD117">
        <f t="shared" si="88"/>
        <v>35.199999999999996</v>
      </c>
      <c r="AE117">
        <f t="shared" si="89"/>
        <v>18.029999999999998</v>
      </c>
      <c r="AF117">
        <f t="shared" si="90"/>
        <v>22.049999999999997</v>
      </c>
      <c r="AG117">
        <f t="shared" si="91"/>
        <v>31.18</v>
      </c>
      <c r="AH117">
        <f t="shared" si="92"/>
        <v>130</v>
      </c>
      <c r="AI117">
        <f t="shared" si="93"/>
        <v>35.199999999999996</v>
      </c>
      <c r="AJ117">
        <f t="shared" si="94"/>
        <v>148.03</v>
      </c>
      <c r="AK117">
        <f t="shared" si="119"/>
        <v>163.04730999999998</v>
      </c>
      <c r="AL117">
        <f t="shared" si="120"/>
        <v>78.952690000000004</v>
      </c>
      <c r="AM117">
        <f>IFERROR(MIN(AL117,VLOOKUP(CONCATENATE(C117,"-to lingot"),negchutes,D117-2007,FALSE)),0)</f>
        <v>0</v>
      </c>
      <c r="AN117">
        <f t="shared" si="95"/>
        <v>78.952690000000004</v>
      </c>
      <c r="AO117" t="str">
        <f t="shared" si="125"/>
        <v>Circ 1</v>
      </c>
      <c r="AP117">
        <f>IF(AR117=0,0,IFERROR(VLOOKUP(CONCATENATE($C117,"-to massif"),negchutes,$D117-2007,FALSE),0)*AM117/AR117)</f>
        <v>0</v>
      </c>
      <c r="AQ117">
        <f>IF(AR117=0,0,IFERROR(VLOOKUP(CONCATENATE($C117,"-to copeaux"),negchutes,$D117-2007,FALSE),0)*AM117/AR117)</f>
        <v>0</v>
      </c>
      <c r="AR117">
        <f>IFERROR(VLOOKUP(CONCATENATE($C117,"-to lingot"),negchutes,$D117-2007,FALSE),0)</f>
        <v>0</v>
      </c>
      <c r="AS117">
        <f>IF(AR117=0,0,AP117*VLOOKUP(CONCATENATE($C117,"-ac massif"),negchutes,$D117-2007,FALSE))</f>
        <v>0</v>
      </c>
      <c r="AT117">
        <f>IF(AR117=0,0,AQ117*VLOOKUP(CONCATENATE($C117,"-ac copeaux"),negchutes,$D117-2007,FALSE))</f>
        <v>0</v>
      </c>
      <c r="AU117">
        <f t="shared" si="121"/>
        <v>2527.2333049999997</v>
      </c>
      <c r="AV117">
        <f>IFERROR(VLOOKUP(CONCATENATE(C117,"-px lingot"),negchutes,D117-2007,FALSE),0)*AM117</f>
        <v>0</v>
      </c>
      <c r="AW117">
        <f>AN117*VLOOKUP("Marché 1",pxlingot,D117-2010,FALSE)</f>
        <v>1973.8172500000001</v>
      </c>
      <c r="AX117">
        <f t="shared" si="97"/>
        <v>18.599382458677685</v>
      </c>
      <c r="AY117" t="str">
        <f t="shared" si="122"/>
        <v>VAR</v>
      </c>
      <c r="AZ117">
        <f t="shared" si="123"/>
        <v>20.692349999999998</v>
      </c>
      <c r="BA117">
        <f>MAX(VLOOKUP(VLOOKUP(C117,descmarche,28,FALSE),pxlingot,D117-2010,FALSE),AX117)</f>
        <v>18.599382458677685</v>
      </c>
      <c r="BB117">
        <f t="shared" si="98"/>
        <v>4501.0505549999998</v>
      </c>
      <c r="BC117" t="str">
        <f t="shared" si="124"/>
        <v>Circ 1</v>
      </c>
    </row>
    <row r="118" spans="1:55" x14ac:dyDescent="0.25">
      <c r="A118" t="s">
        <v>69</v>
      </c>
      <c r="B118" s="4" t="s">
        <v>43</v>
      </c>
      <c r="C118" t="str">
        <f t="shared" si="101"/>
        <v>EcoTi-02</v>
      </c>
      <c r="D118">
        <v>2018</v>
      </c>
      <c r="E118">
        <v>300</v>
      </c>
      <c r="F118" t="str">
        <f t="shared" si="65"/>
        <v>Autres Avionneurs</v>
      </c>
      <c r="G118" t="str">
        <f t="shared" si="102"/>
        <v>Structure hors Airbus source EcoTi</v>
      </c>
      <c r="H118" t="str">
        <f t="shared" si="103"/>
        <v>Structure</v>
      </c>
      <c r="I118">
        <f t="shared" si="104"/>
        <v>5</v>
      </c>
      <c r="J118">
        <f t="shared" si="105"/>
        <v>1210</v>
      </c>
      <c r="K118">
        <f t="shared" si="106"/>
        <v>300</v>
      </c>
      <c r="L118">
        <f t="shared" si="107"/>
        <v>363</v>
      </c>
      <c r="M118">
        <f t="shared" si="108"/>
        <v>15.749999999999996</v>
      </c>
      <c r="N118">
        <f t="shared" si="109"/>
        <v>17.324999999999999</v>
      </c>
      <c r="O118" t="str">
        <f t="shared" si="110"/>
        <v>Circ 1</v>
      </c>
      <c r="P118">
        <f>VLOOKUP(O118,pxmassif,D118-2010,FALSE)*M118</f>
        <v>15.749999999999996</v>
      </c>
      <c r="Q118">
        <f>VLOOKUP(O118,pxcopeau,D118-2010,FALSE)*N118</f>
        <v>10.395</v>
      </c>
      <c r="R118" t="str">
        <f t="shared" si="111"/>
        <v>AD PAMIERS</v>
      </c>
      <c r="S118">
        <f t="shared" si="112"/>
        <v>37.049999999999997</v>
      </c>
      <c r="T118">
        <f t="shared" si="113"/>
        <v>9.7199999999999989</v>
      </c>
      <c r="U118" t="str">
        <f t="shared" si="114"/>
        <v>Circ 1</v>
      </c>
      <c r="V118">
        <f>VLOOKUP(U118,pxmassif,$D118-2010,FALSE)*S118</f>
        <v>37.049999999999997</v>
      </c>
      <c r="W118">
        <f>VLOOKUP(U118,pxcopeau,$D118-2010,FALSE)*T118</f>
        <v>5.831999999999999</v>
      </c>
      <c r="X118" t="str">
        <f t="shared" si="115"/>
        <v>Client</v>
      </c>
      <c r="Y118">
        <f t="shared" si="116"/>
        <v>0</v>
      </c>
      <c r="Z118">
        <f t="shared" si="117"/>
        <v>195</v>
      </c>
      <c r="AA118" t="str">
        <f t="shared" si="118"/>
        <v>Circ 1</v>
      </c>
      <c r="AB118">
        <f>VLOOKUP(AA118,pxmassif,$D118-2010,FALSE)*Y118</f>
        <v>0</v>
      </c>
      <c r="AC118">
        <f>VLOOKUP(AA118,pxcopeau,$D118-2010,FALSE)*Z118</f>
        <v>117</v>
      </c>
      <c r="AD118">
        <f t="shared" si="88"/>
        <v>52.8</v>
      </c>
      <c r="AE118">
        <f t="shared" si="89"/>
        <v>27.044999999999998</v>
      </c>
      <c r="AF118">
        <f t="shared" si="90"/>
        <v>33.074999999999996</v>
      </c>
      <c r="AG118">
        <f t="shared" si="91"/>
        <v>46.769999999999996</v>
      </c>
      <c r="AH118">
        <f t="shared" si="92"/>
        <v>195</v>
      </c>
      <c r="AI118">
        <f t="shared" si="93"/>
        <v>52.8</v>
      </c>
      <c r="AJ118">
        <f t="shared" si="94"/>
        <v>222.04499999999999</v>
      </c>
      <c r="AK118">
        <f t="shared" si="119"/>
        <v>244.57096499999997</v>
      </c>
      <c r="AL118">
        <f t="shared" si="120"/>
        <v>118.429035</v>
      </c>
      <c r="AM118">
        <f>IFERROR(MIN(AL118,VLOOKUP(CONCATENATE(C118,"-to lingot"),negchutes,D118-2007,FALSE)),0)</f>
        <v>0</v>
      </c>
      <c r="AN118">
        <f t="shared" si="95"/>
        <v>118.429035</v>
      </c>
      <c r="AO118" t="str">
        <f t="shared" si="125"/>
        <v>Circ 1</v>
      </c>
      <c r="AP118">
        <f>IF(AR118=0,0,IFERROR(VLOOKUP(CONCATENATE($C118,"-to massif"),negchutes,$D118-2007,FALSE),0)*AM118/AR118)</f>
        <v>0</v>
      </c>
      <c r="AQ118">
        <f>IF(AR118=0,0,IFERROR(VLOOKUP(CONCATENATE($C118,"-to copeaux"),negchutes,$D118-2007,FALSE),0)*AM118/AR118)</f>
        <v>0</v>
      </c>
      <c r="AR118">
        <f>IFERROR(VLOOKUP(CONCATENATE($C118,"-to lingot"),negchutes,$D118-2007,FALSE),0)</f>
        <v>0</v>
      </c>
      <c r="AS118">
        <f>IF(AR118=0,0,AP118*VLOOKUP(CONCATENATE($C118,"-ac massif"),negchutes,$D118-2007,FALSE))</f>
        <v>0</v>
      </c>
      <c r="AT118">
        <f>IF(AR118=0,0,AQ118*VLOOKUP(CONCATENATE($C118,"-ac copeaux"),negchutes,$D118-2007,FALSE))</f>
        <v>0</v>
      </c>
      <c r="AU118">
        <f t="shared" si="121"/>
        <v>3790.8499574999996</v>
      </c>
      <c r="AV118">
        <f>IFERROR(VLOOKUP(CONCATENATE(C118,"-px lingot"),negchutes,D118-2007,FALSE),0)*AM118</f>
        <v>0</v>
      </c>
      <c r="AW118">
        <f>AN118*VLOOKUP("Marché 1",pxlingot,D118-2010,FALSE)</f>
        <v>2960.7258750000001</v>
      </c>
      <c r="AX118">
        <f t="shared" si="97"/>
        <v>18.599382458677685</v>
      </c>
      <c r="AY118" t="str">
        <f t="shared" si="122"/>
        <v>VAR</v>
      </c>
      <c r="AZ118">
        <f t="shared" si="123"/>
        <v>31.038524999999993</v>
      </c>
      <c r="BA118">
        <f>MAX(VLOOKUP(VLOOKUP(C118,descmarche,28,FALSE),pxlingot,D118-2010,FALSE),AX118)</f>
        <v>18.599382458677685</v>
      </c>
      <c r="BB118">
        <f t="shared" si="98"/>
        <v>6751.5758324999997</v>
      </c>
      <c r="BC118" t="str">
        <f t="shared" si="124"/>
        <v>Circ 1</v>
      </c>
    </row>
    <row r="119" spans="1:55" x14ac:dyDescent="0.25">
      <c r="A119" t="s">
        <v>69</v>
      </c>
      <c r="B119" s="4" t="s">
        <v>43</v>
      </c>
      <c r="C119" t="str">
        <f t="shared" si="101"/>
        <v>EcoTi-02</v>
      </c>
      <c r="D119">
        <v>2019</v>
      </c>
      <c r="E119">
        <v>300</v>
      </c>
      <c r="F119" t="str">
        <f t="shared" si="65"/>
        <v>Autres Avionneurs</v>
      </c>
      <c r="G119" t="str">
        <f t="shared" si="102"/>
        <v>Structure hors Airbus source EcoTi</v>
      </c>
      <c r="H119" t="str">
        <f t="shared" si="103"/>
        <v>Structure</v>
      </c>
      <c r="I119">
        <f t="shared" si="104"/>
        <v>5</v>
      </c>
      <c r="J119">
        <f t="shared" si="105"/>
        <v>1210</v>
      </c>
      <c r="K119">
        <f t="shared" si="106"/>
        <v>300</v>
      </c>
      <c r="L119">
        <f t="shared" si="107"/>
        <v>363</v>
      </c>
      <c r="M119">
        <f t="shared" si="108"/>
        <v>15.749999999999996</v>
      </c>
      <c r="N119">
        <f t="shared" si="109"/>
        <v>17.324999999999999</v>
      </c>
      <c r="O119" t="str">
        <f t="shared" si="110"/>
        <v>Circ 1</v>
      </c>
      <c r="P119">
        <f>VLOOKUP(O119,pxmassif,D119-2010,FALSE)*M119</f>
        <v>15.749999999999996</v>
      </c>
      <c r="Q119">
        <f>VLOOKUP(O119,pxcopeau,D119-2010,FALSE)*N119</f>
        <v>10.395</v>
      </c>
      <c r="R119" t="str">
        <f t="shared" si="111"/>
        <v>AD PAMIERS</v>
      </c>
      <c r="S119">
        <f t="shared" si="112"/>
        <v>37.049999999999997</v>
      </c>
      <c r="T119">
        <f t="shared" si="113"/>
        <v>9.7199999999999989</v>
      </c>
      <c r="U119" t="str">
        <f t="shared" si="114"/>
        <v>Circ 1</v>
      </c>
      <c r="V119">
        <f>VLOOKUP(U119,pxmassif,$D119-2010,FALSE)*S119</f>
        <v>37.049999999999997</v>
      </c>
      <c r="W119">
        <f>VLOOKUP(U119,pxcopeau,$D119-2010,FALSE)*T119</f>
        <v>5.831999999999999</v>
      </c>
      <c r="X119" t="str">
        <f t="shared" si="115"/>
        <v>Client</v>
      </c>
      <c r="Y119">
        <f t="shared" si="116"/>
        <v>0</v>
      </c>
      <c r="Z119">
        <f t="shared" si="117"/>
        <v>195</v>
      </c>
      <c r="AA119" t="str">
        <f t="shared" si="118"/>
        <v>Circ 1</v>
      </c>
      <c r="AB119">
        <f>VLOOKUP(AA119,pxmassif,$D119-2010,FALSE)*Y119</f>
        <v>0</v>
      </c>
      <c r="AC119">
        <f>VLOOKUP(AA119,pxcopeau,$D119-2010,FALSE)*Z119</f>
        <v>117</v>
      </c>
      <c r="AD119">
        <f t="shared" si="88"/>
        <v>52.8</v>
      </c>
      <c r="AE119">
        <f t="shared" si="89"/>
        <v>27.044999999999998</v>
      </c>
      <c r="AF119">
        <f t="shared" si="90"/>
        <v>33.074999999999996</v>
      </c>
      <c r="AG119">
        <f t="shared" si="91"/>
        <v>46.769999999999996</v>
      </c>
      <c r="AH119">
        <f t="shared" si="92"/>
        <v>195</v>
      </c>
      <c r="AI119">
        <f t="shared" si="93"/>
        <v>52.8</v>
      </c>
      <c r="AJ119">
        <f t="shared" si="94"/>
        <v>222.04499999999999</v>
      </c>
      <c r="AK119">
        <f t="shared" si="119"/>
        <v>244.57096499999997</v>
      </c>
      <c r="AL119">
        <f t="shared" si="120"/>
        <v>118.429035</v>
      </c>
      <c r="AM119">
        <f>IFERROR(MIN(AL119,VLOOKUP(CONCATENATE(C119,"-to lingot"),negchutes,D119-2007,FALSE)),0)</f>
        <v>0</v>
      </c>
      <c r="AN119">
        <f t="shared" si="95"/>
        <v>118.429035</v>
      </c>
      <c r="AO119" t="str">
        <f t="shared" si="125"/>
        <v>Circ 1</v>
      </c>
      <c r="AP119">
        <f>IF(AR119=0,0,IFERROR(VLOOKUP(CONCATENATE($C119,"-to massif"),negchutes,$D119-2007,FALSE),0)*AM119/AR119)</f>
        <v>0</v>
      </c>
      <c r="AQ119">
        <f>IF(AR119=0,0,IFERROR(VLOOKUP(CONCATENATE($C119,"-to copeaux"),negchutes,$D119-2007,FALSE),0)*AM119/AR119)</f>
        <v>0</v>
      </c>
      <c r="AR119">
        <f>IFERROR(VLOOKUP(CONCATENATE($C119,"-to lingot"),negchutes,$D119-2007,FALSE),0)</f>
        <v>0</v>
      </c>
      <c r="AS119">
        <f>IF(AR119=0,0,AP119*VLOOKUP(CONCATENATE($C119,"-ac massif"),negchutes,$D119-2007,FALSE))</f>
        <v>0</v>
      </c>
      <c r="AT119">
        <f>IF(AR119=0,0,AQ119*VLOOKUP(CONCATENATE($C119,"-ac copeaux"),negchutes,$D119-2007,FALSE))</f>
        <v>0</v>
      </c>
      <c r="AU119">
        <f t="shared" si="121"/>
        <v>3790.8499574999996</v>
      </c>
      <c r="AV119">
        <f>IFERROR(VLOOKUP(CONCATENATE(C119,"-px lingot"),negchutes,D119-2007,FALSE),0)*AM119</f>
        <v>0</v>
      </c>
      <c r="AW119">
        <f>AN119*VLOOKUP("Marché 1",pxlingot,D119-2010,FALSE)</f>
        <v>2960.7258750000001</v>
      </c>
      <c r="AX119">
        <f t="shared" si="97"/>
        <v>18.599382458677685</v>
      </c>
      <c r="AY119" t="str">
        <f t="shared" si="122"/>
        <v>VAR</v>
      </c>
      <c r="AZ119">
        <f t="shared" si="123"/>
        <v>31.038524999999993</v>
      </c>
      <c r="BA119">
        <f>MAX(VLOOKUP(VLOOKUP(C119,descmarche,28,FALSE),pxlingot,D119-2010,FALSE),AX119)</f>
        <v>18.599382458677685</v>
      </c>
      <c r="BB119">
        <f t="shared" si="98"/>
        <v>6751.5758324999997</v>
      </c>
      <c r="BC119" t="str">
        <f t="shared" si="124"/>
        <v>Circ 1</v>
      </c>
    </row>
    <row r="120" spans="1:55" x14ac:dyDescent="0.25">
      <c r="A120" t="s">
        <v>69</v>
      </c>
      <c r="B120" s="4" t="s">
        <v>43</v>
      </c>
      <c r="C120" t="str">
        <f t="shared" si="101"/>
        <v>EcoTi-02</v>
      </c>
      <c r="D120">
        <v>2020</v>
      </c>
      <c r="E120">
        <v>300</v>
      </c>
      <c r="F120" t="str">
        <f t="shared" si="65"/>
        <v>Autres Avionneurs</v>
      </c>
      <c r="G120" t="str">
        <f t="shared" si="102"/>
        <v>Structure hors Airbus source EcoTi</v>
      </c>
      <c r="H120" t="str">
        <f t="shared" si="103"/>
        <v>Structure</v>
      </c>
      <c r="I120">
        <f t="shared" si="104"/>
        <v>5</v>
      </c>
      <c r="J120">
        <f t="shared" si="105"/>
        <v>1210</v>
      </c>
      <c r="K120">
        <f t="shared" si="106"/>
        <v>300</v>
      </c>
      <c r="L120">
        <f t="shared" si="107"/>
        <v>363</v>
      </c>
      <c r="M120">
        <f t="shared" si="108"/>
        <v>15.749999999999996</v>
      </c>
      <c r="N120">
        <f t="shared" si="109"/>
        <v>17.324999999999999</v>
      </c>
      <c r="O120" t="str">
        <f t="shared" si="110"/>
        <v>Circ 1</v>
      </c>
      <c r="P120">
        <f>VLOOKUP(O120,pxmassif,D120-2010,FALSE)*M120</f>
        <v>15.749999999999996</v>
      </c>
      <c r="Q120">
        <f>VLOOKUP(O120,pxcopeau,D120-2010,FALSE)*N120</f>
        <v>10.395</v>
      </c>
      <c r="R120" t="str">
        <f t="shared" si="111"/>
        <v>AD PAMIERS</v>
      </c>
      <c r="S120">
        <f t="shared" si="112"/>
        <v>37.049999999999997</v>
      </c>
      <c r="T120">
        <f t="shared" si="113"/>
        <v>9.7199999999999989</v>
      </c>
      <c r="U120" t="str">
        <f t="shared" si="114"/>
        <v>Circ 1</v>
      </c>
      <c r="V120">
        <f>VLOOKUP(U120,pxmassif,$D120-2010,FALSE)*S120</f>
        <v>37.049999999999997</v>
      </c>
      <c r="W120">
        <f>VLOOKUP(U120,pxcopeau,$D120-2010,FALSE)*T120</f>
        <v>5.831999999999999</v>
      </c>
      <c r="X120" t="str">
        <f t="shared" si="115"/>
        <v>Client</v>
      </c>
      <c r="Y120">
        <f t="shared" si="116"/>
        <v>0</v>
      </c>
      <c r="Z120">
        <f t="shared" si="117"/>
        <v>195</v>
      </c>
      <c r="AA120" t="str">
        <f t="shared" si="118"/>
        <v>Circ 1</v>
      </c>
      <c r="AB120">
        <f>VLOOKUP(AA120,pxmassif,$D120-2010,FALSE)*Y120</f>
        <v>0</v>
      </c>
      <c r="AC120">
        <f>VLOOKUP(AA120,pxcopeau,$D120-2010,FALSE)*Z120</f>
        <v>117</v>
      </c>
      <c r="AD120">
        <f t="shared" si="88"/>
        <v>52.8</v>
      </c>
      <c r="AE120">
        <f t="shared" si="89"/>
        <v>27.044999999999998</v>
      </c>
      <c r="AF120">
        <f t="shared" si="90"/>
        <v>33.074999999999996</v>
      </c>
      <c r="AG120">
        <f t="shared" si="91"/>
        <v>46.769999999999996</v>
      </c>
      <c r="AH120">
        <f t="shared" si="92"/>
        <v>195</v>
      </c>
      <c r="AI120">
        <f t="shared" si="93"/>
        <v>52.8</v>
      </c>
      <c r="AJ120">
        <f t="shared" si="94"/>
        <v>222.04499999999999</v>
      </c>
      <c r="AK120">
        <f t="shared" si="119"/>
        <v>244.57096499999997</v>
      </c>
      <c r="AL120">
        <f t="shared" si="120"/>
        <v>118.429035</v>
      </c>
      <c r="AM120">
        <f>IFERROR(MIN(AL120,VLOOKUP(CONCATENATE(C120,"-to lingot"),negchutes,D120-2007,FALSE)),0)</f>
        <v>0</v>
      </c>
      <c r="AN120">
        <f t="shared" si="95"/>
        <v>118.429035</v>
      </c>
      <c r="AO120" t="str">
        <f t="shared" si="125"/>
        <v>Circ 1</v>
      </c>
      <c r="AP120">
        <f>IF(AR120=0,0,IFERROR(VLOOKUP(CONCATENATE($C120,"-to massif"),negchutes,$D120-2007,FALSE),0)*AM120/AR120)</f>
        <v>0</v>
      </c>
      <c r="AQ120">
        <f>IF(AR120=0,0,IFERROR(VLOOKUP(CONCATENATE($C120,"-to copeaux"),negchutes,$D120-2007,FALSE),0)*AM120/AR120)</f>
        <v>0</v>
      </c>
      <c r="AR120">
        <f>IFERROR(VLOOKUP(CONCATENATE($C120,"-to lingot"),negchutes,$D120-2007,FALSE),0)</f>
        <v>0</v>
      </c>
      <c r="AS120">
        <f>IF(AR120=0,0,AP120*VLOOKUP(CONCATENATE($C120,"-ac massif"),negchutes,$D120-2007,FALSE))</f>
        <v>0</v>
      </c>
      <c r="AT120">
        <f>IF(AR120=0,0,AQ120*VLOOKUP(CONCATENATE($C120,"-ac copeaux"),negchutes,$D120-2007,FALSE))</f>
        <v>0</v>
      </c>
      <c r="AU120">
        <f t="shared" si="121"/>
        <v>3790.8499574999996</v>
      </c>
      <c r="AV120">
        <f>IFERROR(VLOOKUP(CONCATENATE(C120,"-px lingot"),negchutes,D120-2007,FALSE),0)*AM120</f>
        <v>0</v>
      </c>
      <c r="AW120">
        <f>AN120*VLOOKUP("Marché 1",pxlingot,D120-2010,FALSE)</f>
        <v>2960.7258750000001</v>
      </c>
      <c r="AX120">
        <f t="shared" si="97"/>
        <v>18.599382458677685</v>
      </c>
      <c r="AY120" t="str">
        <f t="shared" si="122"/>
        <v>VAR</v>
      </c>
      <c r="AZ120">
        <f t="shared" si="123"/>
        <v>31.038524999999993</v>
      </c>
      <c r="BA120">
        <f>MAX(VLOOKUP(VLOOKUP(C120,descmarche,28,FALSE),pxlingot,D120-2010,FALSE),AX120)</f>
        <v>18.599382458677685</v>
      </c>
      <c r="BB120">
        <f t="shared" si="98"/>
        <v>6751.5758324999997</v>
      </c>
      <c r="BC120" t="str">
        <f t="shared" si="124"/>
        <v>Circ 1</v>
      </c>
    </row>
    <row r="121" spans="1:55" x14ac:dyDescent="0.25">
      <c r="A121" t="s">
        <v>69</v>
      </c>
      <c r="B121" s="4" t="s">
        <v>43</v>
      </c>
      <c r="C121" t="str">
        <f t="shared" si="101"/>
        <v>EcoTi-02</v>
      </c>
      <c r="D121">
        <v>2021</v>
      </c>
      <c r="E121">
        <v>300</v>
      </c>
      <c r="F121" t="str">
        <f t="shared" si="65"/>
        <v>Autres Avionneurs</v>
      </c>
      <c r="G121" t="str">
        <f t="shared" si="102"/>
        <v>Structure hors Airbus source EcoTi</v>
      </c>
      <c r="H121" t="str">
        <f t="shared" si="103"/>
        <v>Structure</v>
      </c>
      <c r="I121">
        <f t="shared" si="104"/>
        <v>5</v>
      </c>
      <c r="J121">
        <f t="shared" si="105"/>
        <v>1210</v>
      </c>
      <c r="K121">
        <f t="shared" si="106"/>
        <v>300</v>
      </c>
      <c r="L121">
        <f t="shared" si="107"/>
        <v>363</v>
      </c>
      <c r="M121">
        <f t="shared" si="108"/>
        <v>15.749999999999996</v>
      </c>
      <c r="N121">
        <f t="shared" si="109"/>
        <v>17.324999999999999</v>
      </c>
      <c r="O121" t="str">
        <f t="shared" si="110"/>
        <v>Circ 1</v>
      </c>
      <c r="P121">
        <f>VLOOKUP(O121,pxmassif,D121-2010,FALSE)*M121</f>
        <v>15.749999999999996</v>
      </c>
      <c r="Q121">
        <f>VLOOKUP(O121,pxcopeau,D121-2010,FALSE)*N121</f>
        <v>10.395</v>
      </c>
      <c r="R121" t="str">
        <f t="shared" si="111"/>
        <v>AD PAMIERS</v>
      </c>
      <c r="S121">
        <f t="shared" si="112"/>
        <v>37.049999999999997</v>
      </c>
      <c r="T121">
        <f t="shared" si="113"/>
        <v>9.7199999999999989</v>
      </c>
      <c r="U121" t="str">
        <f t="shared" si="114"/>
        <v>Circ 1</v>
      </c>
      <c r="V121">
        <f>VLOOKUP(U121,pxmassif,$D121-2010,FALSE)*S121</f>
        <v>37.049999999999997</v>
      </c>
      <c r="W121">
        <f>VLOOKUP(U121,pxcopeau,$D121-2010,FALSE)*T121</f>
        <v>5.831999999999999</v>
      </c>
      <c r="X121" t="str">
        <f t="shared" si="115"/>
        <v>Client</v>
      </c>
      <c r="Y121">
        <f t="shared" si="116"/>
        <v>0</v>
      </c>
      <c r="Z121">
        <f t="shared" si="117"/>
        <v>195</v>
      </c>
      <c r="AA121" t="str">
        <f t="shared" si="118"/>
        <v>Circ 1</v>
      </c>
      <c r="AB121">
        <f>VLOOKUP(AA121,pxmassif,$D121-2010,FALSE)*Y121</f>
        <v>0</v>
      </c>
      <c r="AC121">
        <f>VLOOKUP(AA121,pxcopeau,$D121-2010,FALSE)*Z121</f>
        <v>117</v>
      </c>
      <c r="AD121">
        <f t="shared" si="88"/>
        <v>52.8</v>
      </c>
      <c r="AE121">
        <f t="shared" si="89"/>
        <v>27.044999999999998</v>
      </c>
      <c r="AF121">
        <f t="shared" si="90"/>
        <v>33.074999999999996</v>
      </c>
      <c r="AG121">
        <f t="shared" si="91"/>
        <v>46.769999999999996</v>
      </c>
      <c r="AH121">
        <f t="shared" si="92"/>
        <v>195</v>
      </c>
      <c r="AI121">
        <f t="shared" si="93"/>
        <v>52.8</v>
      </c>
      <c r="AJ121">
        <f t="shared" si="94"/>
        <v>222.04499999999999</v>
      </c>
      <c r="AK121">
        <f t="shared" si="119"/>
        <v>244.57096499999997</v>
      </c>
      <c r="AL121">
        <f t="shared" si="120"/>
        <v>118.429035</v>
      </c>
      <c r="AM121">
        <f>IFERROR(MIN(AL121,VLOOKUP(CONCATENATE(C121,"-to lingot"),negchutes,D121-2007,FALSE)),0)</f>
        <v>0</v>
      </c>
      <c r="AN121">
        <f t="shared" si="95"/>
        <v>118.429035</v>
      </c>
      <c r="AO121" t="str">
        <f t="shared" si="125"/>
        <v>Circ 1</v>
      </c>
      <c r="AP121">
        <f>IF(AR121=0,0,IFERROR(VLOOKUP(CONCATENATE($C121,"-to massif"),negchutes,$D121-2007,FALSE),0)*AM121/AR121)</f>
        <v>0</v>
      </c>
      <c r="AQ121">
        <f>IF(AR121=0,0,IFERROR(VLOOKUP(CONCATENATE($C121,"-to copeaux"),negchutes,$D121-2007,FALSE),0)*AM121/AR121)</f>
        <v>0</v>
      </c>
      <c r="AR121">
        <f>IFERROR(VLOOKUP(CONCATENATE($C121,"-to lingot"),negchutes,$D121-2007,FALSE),0)</f>
        <v>0</v>
      </c>
      <c r="AS121">
        <f>IF(AR121=0,0,AP121*VLOOKUP(CONCATENATE($C121,"-ac massif"),negchutes,$D121-2007,FALSE))</f>
        <v>0</v>
      </c>
      <c r="AT121">
        <f>IF(AR121=0,0,AQ121*VLOOKUP(CONCATENATE($C121,"-ac copeaux"),negchutes,$D121-2007,FALSE))</f>
        <v>0</v>
      </c>
      <c r="AU121">
        <f t="shared" si="121"/>
        <v>3790.8499574999996</v>
      </c>
      <c r="AV121">
        <f>IFERROR(VLOOKUP(CONCATENATE(C121,"-px lingot"),negchutes,D121-2007,FALSE),0)*AM121</f>
        <v>0</v>
      </c>
      <c r="AW121">
        <f>AN121*VLOOKUP("Marché 1",pxlingot,D121-2010,FALSE)</f>
        <v>2960.7258750000001</v>
      </c>
      <c r="AX121">
        <f t="shared" si="97"/>
        <v>18.599382458677685</v>
      </c>
      <c r="AY121" t="str">
        <f t="shared" si="122"/>
        <v>VAR</v>
      </c>
      <c r="AZ121">
        <f t="shared" si="123"/>
        <v>31.038524999999993</v>
      </c>
      <c r="BA121">
        <f>MAX(VLOOKUP(VLOOKUP(C121,descmarche,28,FALSE),pxlingot,D121-2010,FALSE),AX121)</f>
        <v>18.599382458677685</v>
      </c>
      <c r="BB121">
        <f t="shared" si="98"/>
        <v>6751.5758324999997</v>
      </c>
      <c r="BC121" t="str">
        <f t="shared" si="124"/>
        <v>Circ 1</v>
      </c>
    </row>
    <row r="122" spans="1:55" x14ac:dyDescent="0.25">
      <c r="A122" t="s">
        <v>69</v>
      </c>
      <c r="B122" s="4" t="s">
        <v>43</v>
      </c>
      <c r="C122" t="str">
        <f t="shared" si="101"/>
        <v>EcoTi-02</v>
      </c>
      <c r="D122">
        <v>2022</v>
      </c>
      <c r="E122">
        <v>300</v>
      </c>
      <c r="F122" t="str">
        <f t="shared" si="65"/>
        <v>Autres Avionneurs</v>
      </c>
      <c r="G122" t="str">
        <f t="shared" si="102"/>
        <v>Structure hors Airbus source EcoTi</v>
      </c>
      <c r="H122" t="str">
        <f t="shared" si="103"/>
        <v>Structure</v>
      </c>
      <c r="I122">
        <f t="shared" si="104"/>
        <v>5</v>
      </c>
      <c r="J122">
        <f t="shared" si="105"/>
        <v>1210</v>
      </c>
      <c r="K122">
        <f t="shared" si="106"/>
        <v>300</v>
      </c>
      <c r="L122">
        <f t="shared" si="107"/>
        <v>363</v>
      </c>
      <c r="M122">
        <f t="shared" si="108"/>
        <v>15.749999999999996</v>
      </c>
      <c r="N122">
        <f t="shared" si="109"/>
        <v>17.324999999999999</v>
      </c>
      <c r="O122" t="str">
        <f t="shared" si="110"/>
        <v>Circ 1</v>
      </c>
      <c r="P122">
        <f>VLOOKUP(O122,pxmassif,D122-2010,FALSE)*M122</f>
        <v>15.749999999999996</v>
      </c>
      <c r="Q122">
        <f>VLOOKUP(O122,pxcopeau,D122-2010,FALSE)*N122</f>
        <v>10.395</v>
      </c>
      <c r="R122" t="str">
        <f t="shared" si="111"/>
        <v>AD PAMIERS</v>
      </c>
      <c r="S122">
        <f t="shared" si="112"/>
        <v>37.049999999999997</v>
      </c>
      <c r="T122">
        <f t="shared" si="113"/>
        <v>9.7199999999999989</v>
      </c>
      <c r="U122" t="str">
        <f t="shared" si="114"/>
        <v>Circ 1</v>
      </c>
      <c r="V122">
        <f>VLOOKUP(U122,pxmassif,$D122-2010,FALSE)*S122</f>
        <v>37.049999999999997</v>
      </c>
      <c r="W122">
        <f>VLOOKUP(U122,pxcopeau,$D122-2010,FALSE)*T122</f>
        <v>5.831999999999999</v>
      </c>
      <c r="X122" t="str">
        <f t="shared" si="115"/>
        <v>Client</v>
      </c>
      <c r="Y122">
        <f t="shared" si="116"/>
        <v>0</v>
      </c>
      <c r="Z122">
        <f t="shared" si="117"/>
        <v>195</v>
      </c>
      <c r="AA122" t="str">
        <f t="shared" si="118"/>
        <v>Circ 1</v>
      </c>
      <c r="AB122">
        <f>VLOOKUP(AA122,pxmassif,$D122-2010,FALSE)*Y122</f>
        <v>0</v>
      </c>
      <c r="AC122">
        <f>VLOOKUP(AA122,pxcopeau,$D122-2010,FALSE)*Z122</f>
        <v>117</v>
      </c>
      <c r="AD122">
        <f t="shared" si="88"/>
        <v>52.8</v>
      </c>
      <c r="AE122">
        <f t="shared" si="89"/>
        <v>27.044999999999998</v>
      </c>
      <c r="AF122">
        <f t="shared" si="90"/>
        <v>33.074999999999996</v>
      </c>
      <c r="AG122">
        <f t="shared" si="91"/>
        <v>46.769999999999996</v>
      </c>
      <c r="AH122">
        <f t="shared" si="92"/>
        <v>195</v>
      </c>
      <c r="AI122">
        <f t="shared" si="93"/>
        <v>52.8</v>
      </c>
      <c r="AJ122">
        <f t="shared" si="94"/>
        <v>222.04499999999999</v>
      </c>
      <c r="AK122">
        <f t="shared" si="119"/>
        <v>244.57096499999997</v>
      </c>
      <c r="AL122">
        <f t="shared" si="120"/>
        <v>118.429035</v>
      </c>
      <c r="AM122">
        <f>IFERROR(MIN(AL122,VLOOKUP(CONCATENATE(C122,"-to lingot"),negchutes,D122-2007,FALSE)),0)</f>
        <v>0</v>
      </c>
      <c r="AN122">
        <f t="shared" si="95"/>
        <v>118.429035</v>
      </c>
      <c r="AO122" t="str">
        <f t="shared" si="125"/>
        <v>Circ 1</v>
      </c>
      <c r="AP122">
        <f>IF(AR122=0,0,IFERROR(VLOOKUP(CONCATENATE($C122,"-to massif"),negchutes,$D122-2007,FALSE),0)*AM122/AR122)</f>
        <v>0</v>
      </c>
      <c r="AQ122">
        <f>IF(AR122=0,0,IFERROR(VLOOKUP(CONCATENATE($C122,"-to copeaux"),negchutes,$D122-2007,FALSE),0)*AM122/AR122)</f>
        <v>0</v>
      </c>
      <c r="AR122">
        <f>IFERROR(VLOOKUP(CONCATENATE($C122,"-to lingot"),negchutes,$D122-2007,FALSE),0)</f>
        <v>0</v>
      </c>
      <c r="AS122">
        <f>IF(AR122=0,0,AP122*VLOOKUP(CONCATENATE($C122,"-ac massif"),negchutes,$D122-2007,FALSE))</f>
        <v>0</v>
      </c>
      <c r="AT122">
        <f>IF(AR122=0,0,AQ122*VLOOKUP(CONCATENATE($C122,"-ac copeaux"),negchutes,$D122-2007,FALSE))</f>
        <v>0</v>
      </c>
      <c r="AU122">
        <f t="shared" si="121"/>
        <v>3790.8499574999996</v>
      </c>
      <c r="AV122">
        <f>IFERROR(VLOOKUP(CONCATENATE(C122,"-px lingot"),negchutes,D122-2007,FALSE),0)*AM122</f>
        <v>0</v>
      </c>
      <c r="AW122">
        <f>AN122*VLOOKUP("Marché 1",pxlingot,D122-2010,FALSE)</f>
        <v>2960.7258750000001</v>
      </c>
      <c r="AX122">
        <f t="shared" si="97"/>
        <v>18.599382458677685</v>
      </c>
      <c r="AY122" t="str">
        <f t="shared" si="122"/>
        <v>VAR</v>
      </c>
      <c r="AZ122">
        <f t="shared" si="123"/>
        <v>31.038524999999993</v>
      </c>
      <c r="BA122">
        <f>MAX(VLOOKUP(VLOOKUP(C122,descmarche,28,FALSE),pxlingot,D122-2010,FALSE),AX122)</f>
        <v>18.599382458677685</v>
      </c>
      <c r="BB122">
        <f t="shared" si="98"/>
        <v>6751.5758324999997</v>
      </c>
      <c r="BC122" t="str">
        <f t="shared" si="124"/>
        <v>Circ 1</v>
      </c>
    </row>
    <row r="123" spans="1:55" x14ac:dyDescent="0.25">
      <c r="A123" t="s">
        <v>69</v>
      </c>
      <c r="B123" s="4" t="s">
        <v>43</v>
      </c>
      <c r="C123" t="str">
        <f t="shared" si="101"/>
        <v>EcoTi-02</v>
      </c>
      <c r="D123">
        <v>2023</v>
      </c>
      <c r="E123">
        <v>300</v>
      </c>
      <c r="F123" t="str">
        <f t="shared" si="65"/>
        <v>Autres Avionneurs</v>
      </c>
      <c r="G123" t="str">
        <f t="shared" si="102"/>
        <v>Structure hors Airbus source EcoTi</v>
      </c>
      <c r="H123" t="str">
        <f t="shared" si="103"/>
        <v>Structure</v>
      </c>
      <c r="I123">
        <f t="shared" si="104"/>
        <v>5</v>
      </c>
      <c r="J123">
        <f t="shared" si="105"/>
        <v>1210</v>
      </c>
      <c r="K123">
        <f t="shared" si="106"/>
        <v>300</v>
      </c>
      <c r="L123">
        <f t="shared" si="107"/>
        <v>363</v>
      </c>
      <c r="M123">
        <f t="shared" si="108"/>
        <v>15.749999999999996</v>
      </c>
      <c r="N123">
        <f t="shared" si="109"/>
        <v>17.324999999999999</v>
      </c>
      <c r="O123" t="str">
        <f t="shared" si="110"/>
        <v>Circ 1</v>
      </c>
      <c r="P123">
        <f>VLOOKUP(O123,pxmassif,D123-2010,FALSE)*M123</f>
        <v>15.749999999999996</v>
      </c>
      <c r="Q123">
        <f>VLOOKUP(O123,pxcopeau,D123-2010,FALSE)*N123</f>
        <v>10.395</v>
      </c>
      <c r="R123" t="str">
        <f t="shared" si="111"/>
        <v>AD PAMIERS</v>
      </c>
      <c r="S123">
        <f t="shared" si="112"/>
        <v>37.049999999999997</v>
      </c>
      <c r="T123">
        <f t="shared" si="113"/>
        <v>9.7199999999999989</v>
      </c>
      <c r="U123" t="str">
        <f t="shared" si="114"/>
        <v>Circ 1</v>
      </c>
      <c r="V123">
        <f>VLOOKUP(U123,pxmassif,$D123-2010,FALSE)*S123</f>
        <v>37.049999999999997</v>
      </c>
      <c r="W123">
        <f>VLOOKUP(U123,pxcopeau,$D123-2010,FALSE)*T123</f>
        <v>5.831999999999999</v>
      </c>
      <c r="X123" t="str">
        <f t="shared" si="115"/>
        <v>Client</v>
      </c>
      <c r="Y123">
        <f t="shared" si="116"/>
        <v>0</v>
      </c>
      <c r="Z123">
        <f t="shared" si="117"/>
        <v>195</v>
      </c>
      <c r="AA123" t="str">
        <f t="shared" si="118"/>
        <v>Circ 1</v>
      </c>
      <c r="AB123">
        <f>VLOOKUP(AA123,pxmassif,$D123-2010,FALSE)*Y123</f>
        <v>0</v>
      </c>
      <c r="AC123">
        <f>VLOOKUP(AA123,pxcopeau,$D123-2010,FALSE)*Z123</f>
        <v>117</v>
      </c>
      <c r="AD123">
        <f t="shared" si="88"/>
        <v>52.8</v>
      </c>
      <c r="AE123">
        <f t="shared" si="89"/>
        <v>27.044999999999998</v>
      </c>
      <c r="AF123">
        <f t="shared" si="90"/>
        <v>33.074999999999996</v>
      </c>
      <c r="AG123">
        <f t="shared" si="91"/>
        <v>46.769999999999996</v>
      </c>
      <c r="AH123">
        <f t="shared" si="92"/>
        <v>195</v>
      </c>
      <c r="AI123">
        <f t="shared" si="93"/>
        <v>52.8</v>
      </c>
      <c r="AJ123">
        <f t="shared" si="94"/>
        <v>222.04499999999999</v>
      </c>
      <c r="AK123">
        <f t="shared" si="119"/>
        <v>244.57096499999997</v>
      </c>
      <c r="AL123">
        <f t="shared" si="120"/>
        <v>118.429035</v>
      </c>
      <c r="AM123">
        <f>IFERROR(MIN(AL123,VLOOKUP(CONCATENATE(C123,"-to lingot"),negchutes,D123-2007,FALSE)),0)</f>
        <v>0</v>
      </c>
      <c r="AN123">
        <f t="shared" si="95"/>
        <v>118.429035</v>
      </c>
      <c r="AO123" t="str">
        <f t="shared" si="125"/>
        <v>Circ 1</v>
      </c>
      <c r="AP123">
        <f>IF(AR123=0,0,IFERROR(VLOOKUP(CONCATENATE($C123,"-to massif"),negchutes,$D123-2007,FALSE),0)*AM123/AR123)</f>
        <v>0</v>
      </c>
      <c r="AQ123">
        <f>IF(AR123=0,0,IFERROR(VLOOKUP(CONCATENATE($C123,"-to copeaux"),negchutes,$D123-2007,FALSE),0)*AM123/AR123)</f>
        <v>0</v>
      </c>
      <c r="AR123">
        <f>IFERROR(VLOOKUP(CONCATENATE($C123,"-to lingot"),negchutes,$D123-2007,FALSE),0)</f>
        <v>0</v>
      </c>
      <c r="AS123">
        <f>IF(AR123=0,0,AP123*VLOOKUP(CONCATENATE($C123,"-ac massif"),negchutes,$D123-2007,FALSE))</f>
        <v>0</v>
      </c>
      <c r="AT123">
        <f>IF(AR123=0,0,AQ123*VLOOKUP(CONCATENATE($C123,"-ac copeaux"),negchutes,$D123-2007,FALSE))</f>
        <v>0</v>
      </c>
      <c r="AU123">
        <f t="shared" si="121"/>
        <v>3790.8499574999996</v>
      </c>
      <c r="AV123">
        <f>IFERROR(VLOOKUP(CONCATENATE(C123,"-px lingot"),negchutes,D123-2007,FALSE),0)*AM123</f>
        <v>0</v>
      </c>
      <c r="AW123">
        <f>AN123*VLOOKUP("Marché 1",pxlingot,D123-2010,FALSE)</f>
        <v>2960.7258750000001</v>
      </c>
      <c r="AX123">
        <f t="shared" si="97"/>
        <v>18.599382458677685</v>
      </c>
      <c r="AY123" t="str">
        <f t="shared" si="122"/>
        <v>VAR</v>
      </c>
      <c r="AZ123">
        <f t="shared" si="123"/>
        <v>31.038524999999993</v>
      </c>
      <c r="BA123">
        <f>MAX(VLOOKUP(VLOOKUP(C123,descmarche,28,FALSE),pxlingot,D123-2010,FALSE),AX123)</f>
        <v>18.599382458677685</v>
      </c>
      <c r="BB123">
        <f t="shared" si="98"/>
        <v>6751.5758324999997</v>
      </c>
      <c r="BC123" t="str">
        <f t="shared" si="124"/>
        <v>Circ 1</v>
      </c>
    </row>
    <row r="124" spans="1:55" x14ac:dyDescent="0.25">
      <c r="A124" t="s">
        <v>69</v>
      </c>
      <c r="B124" s="4" t="s">
        <v>43</v>
      </c>
      <c r="C124" t="str">
        <f t="shared" si="101"/>
        <v>EcoTi-02</v>
      </c>
      <c r="D124">
        <v>2024</v>
      </c>
      <c r="E124">
        <v>300</v>
      </c>
      <c r="F124" t="str">
        <f t="shared" si="65"/>
        <v>Autres Avionneurs</v>
      </c>
      <c r="G124" t="str">
        <f t="shared" si="102"/>
        <v>Structure hors Airbus source EcoTi</v>
      </c>
      <c r="H124" t="str">
        <f t="shared" si="103"/>
        <v>Structure</v>
      </c>
      <c r="I124">
        <f t="shared" si="104"/>
        <v>5</v>
      </c>
      <c r="J124">
        <f t="shared" si="105"/>
        <v>1210</v>
      </c>
      <c r="K124">
        <f t="shared" si="106"/>
        <v>300</v>
      </c>
      <c r="L124">
        <f t="shared" si="107"/>
        <v>363</v>
      </c>
      <c r="M124">
        <f t="shared" si="108"/>
        <v>15.749999999999996</v>
      </c>
      <c r="N124">
        <f t="shared" si="109"/>
        <v>17.324999999999999</v>
      </c>
      <c r="O124" t="str">
        <f t="shared" si="110"/>
        <v>Circ 1</v>
      </c>
      <c r="P124">
        <f>VLOOKUP(O124,pxmassif,D124-2010,FALSE)*M124</f>
        <v>15.749999999999996</v>
      </c>
      <c r="Q124">
        <f>VLOOKUP(O124,pxcopeau,D124-2010,FALSE)*N124</f>
        <v>10.395</v>
      </c>
      <c r="R124" t="str">
        <f t="shared" si="111"/>
        <v>AD PAMIERS</v>
      </c>
      <c r="S124">
        <f t="shared" si="112"/>
        <v>37.049999999999997</v>
      </c>
      <c r="T124">
        <f t="shared" si="113"/>
        <v>9.7199999999999989</v>
      </c>
      <c r="U124" t="str">
        <f t="shared" si="114"/>
        <v>Circ 1</v>
      </c>
      <c r="V124">
        <f>VLOOKUP(U124,pxmassif,$D124-2010,FALSE)*S124</f>
        <v>37.049999999999997</v>
      </c>
      <c r="W124">
        <f>VLOOKUP(U124,pxcopeau,$D124-2010,FALSE)*T124</f>
        <v>5.831999999999999</v>
      </c>
      <c r="X124" t="str">
        <f t="shared" si="115"/>
        <v>Client</v>
      </c>
      <c r="Y124">
        <f t="shared" si="116"/>
        <v>0</v>
      </c>
      <c r="Z124">
        <f t="shared" si="117"/>
        <v>195</v>
      </c>
      <c r="AA124" t="str">
        <f t="shared" si="118"/>
        <v>Circ 1</v>
      </c>
      <c r="AB124">
        <f>VLOOKUP(AA124,pxmassif,$D124-2010,FALSE)*Y124</f>
        <v>0</v>
      </c>
      <c r="AC124">
        <f>VLOOKUP(AA124,pxcopeau,$D124-2010,FALSE)*Z124</f>
        <v>117</v>
      </c>
      <c r="AD124">
        <f t="shared" si="88"/>
        <v>52.8</v>
      </c>
      <c r="AE124">
        <f t="shared" si="89"/>
        <v>27.044999999999998</v>
      </c>
      <c r="AF124">
        <f t="shared" si="90"/>
        <v>33.074999999999996</v>
      </c>
      <c r="AG124">
        <f t="shared" si="91"/>
        <v>46.769999999999996</v>
      </c>
      <c r="AH124">
        <f t="shared" si="92"/>
        <v>195</v>
      </c>
      <c r="AI124">
        <f t="shared" si="93"/>
        <v>52.8</v>
      </c>
      <c r="AJ124">
        <f t="shared" si="94"/>
        <v>222.04499999999999</v>
      </c>
      <c r="AK124">
        <f t="shared" si="119"/>
        <v>244.57096499999997</v>
      </c>
      <c r="AL124">
        <f t="shared" si="120"/>
        <v>118.429035</v>
      </c>
      <c r="AM124">
        <f>IFERROR(MIN(AL124,VLOOKUP(CONCATENATE(C124,"-to lingot"),negchutes,D124-2007,FALSE)),0)</f>
        <v>0</v>
      </c>
      <c r="AN124">
        <f t="shared" si="95"/>
        <v>118.429035</v>
      </c>
      <c r="AO124" t="str">
        <f t="shared" si="125"/>
        <v>Circ 1</v>
      </c>
      <c r="AP124">
        <f>IF(AR124=0,0,IFERROR(VLOOKUP(CONCATENATE($C124,"-to massif"),negchutes,$D124-2007,FALSE),0)*AM124/AR124)</f>
        <v>0</v>
      </c>
      <c r="AQ124">
        <f>IF(AR124=0,0,IFERROR(VLOOKUP(CONCATENATE($C124,"-to copeaux"),negchutes,$D124-2007,FALSE),0)*AM124/AR124)</f>
        <v>0</v>
      </c>
      <c r="AR124">
        <f>IFERROR(VLOOKUP(CONCATENATE($C124,"-to lingot"),negchutes,$D124-2007,FALSE),0)</f>
        <v>0</v>
      </c>
      <c r="AS124">
        <f>IF(AR124=0,0,AP124*VLOOKUP(CONCATENATE($C124,"-ac massif"),negchutes,$D124-2007,FALSE))</f>
        <v>0</v>
      </c>
      <c r="AT124">
        <f>IF(AR124=0,0,AQ124*VLOOKUP(CONCATENATE($C124,"-ac copeaux"),negchutes,$D124-2007,FALSE))</f>
        <v>0</v>
      </c>
      <c r="AU124">
        <f t="shared" si="121"/>
        <v>3790.8499574999996</v>
      </c>
      <c r="AV124">
        <f>IFERROR(VLOOKUP(CONCATENATE(C124,"-px lingot"),negchutes,D124-2007,FALSE),0)*AM124</f>
        <v>0</v>
      </c>
      <c r="AW124">
        <f>AN124*VLOOKUP("Marché 1",pxlingot,D124-2010,FALSE)</f>
        <v>2960.7258750000001</v>
      </c>
      <c r="AX124">
        <f t="shared" si="97"/>
        <v>18.599382458677685</v>
      </c>
      <c r="AY124" t="str">
        <f t="shared" si="122"/>
        <v>VAR</v>
      </c>
      <c r="AZ124">
        <f t="shared" si="123"/>
        <v>31.038524999999993</v>
      </c>
      <c r="BA124">
        <f>MAX(VLOOKUP(VLOOKUP(C124,descmarche,28,FALSE),pxlingot,D124-2010,FALSE),AX124)</f>
        <v>18.599382458677685</v>
      </c>
      <c r="BB124">
        <f t="shared" si="98"/>
        <v>6751.5758324999997</v>
      </c>
      <c r="BC124" t="str">
        <f t="shared" si="124"/>
        <v>Circ 1</v>
      </c>
    </row>
    <row r="125" spans="1:55" x14ac:dyDescent="0.25">
      <c r="A125" t="s">
        <v>69</v>
      </c>
      <c r="B125" s="4" t="s">
        <v>44</v>
      </c>
      <c r="C125" t="str">
        <f t="shared" si="101"/>
        <v>EcoTi-03</v>
      </c>
      <c r="D125">
        <v>2016</v>
      </c>
      <c r="E125">
        <v>25</v>
      </c>
      <c r="F125" t="str">
        <f t="shared" si="65"/>
        <v>Motoristes Pièces</v>
      </c>
      <c r="G125" t="str">
        <f t="shared" si="102"/>
        <v>Motoristes Pièces source EcoTi Simple Melt</v>
      </c>
      <c r="H125" t="str">
        <f t="shared" si="103"/>
        <v>Moteurs</v>
      </c>
      <c r="I125">
        <f t="shared" si="104"/>
        <v>5</v>
      </c>
      <c r="J125">
        <f t="shared" si="105"/>
        <v>1210</v>
      </c>
      <c r="K125">
        <f t="shared" si="106"/>
        <v>25</v>
      </c>
      <c r="L125">
        <f t="shared" si="107"/>
        <v>30.25</v>
      </c>
      <c r="M125">
        <f t="shared" si="108"/>
        <v>1.3124999999999998</v>
      </c>
      <c r="N125">
        <f t="shared" si="109"/>
        <v>1.4437499999999999</v>
      </c>
      <c r="O125" t="str">
        <f t="shared" si="110"/>
        <v>Circ 1</v>
      </c>
      <c r="P125">
        <f>VLOOKUP(O125,pxmassif,D125-2010,FALSE)*M125</f>
        <v>1.3124999999999998</v>
      </c>
      <c r="Q125">
        <f>VLOOKUP(O125,pxcopeau,D125-2010,FALSE)*N125</f>
        <v>0.86624999999999985</v>
      </c>
      <c r="R125" t="str">
        <f t="shared" si="111"/>
        <v>AD PAMIERS</v>
      </c>
      <c r="S125">
        <f t="shared" si="112"/>
        <v>1.1875</v>
      </c>
      <c r="T125">
        <f t="shared" si="113"/>
        <v>9</v>
      </c>
      <c r="U125" t="str">
        <f t="shared" si="114"/>
        <v>Circ 1</v>
      </c>
      <c r="V125">
        <f>VLOOKUP(U125,pxmassif,$D125-2010,FALSE)*S125</f>
        <v>1.1875</v>
      </c>
      <c r="W125">
        <f>VLOOKUP(U125,pxcopeau,$D125-2010,FALSE)*T125</f>
        <v>5.3999999999999995</v>
      </c>
      <c r="X125" t="str">
        <f t="shared" si="115"/>
        <v>Client</v>
      </c>
      <c r="Y125">
        <f t="shared" si="116"/>
        <v>0</v>
      </c>
      <c r="Z125">
        <f t="shared" si="117"/>
        <v>0</v>
      </c>
      <c r="AA125" t="str">
        <f t="shared" si="118"/>
        <v>Circ 1</v>
      </c>
      <c r="AB125">
        <f>VLOOKUP(AA125,pxmassif,$D125-2010,FALSE)*Y125</f>
        <v>0</v>
      </c>
      <c r="AC125">
        <f>VLOOKUP(AA125,pxcopeau,$D125-2010,FALSE)*Z125</f>
        <v>0</v>
      </c>
      <c r="AD125">
        <f t="shared" si="88"/>
        <v>2.5</v>
      </c>
      <c r="AE125">
        <f t="shared" si="89"/>
        <v>10.44375</v>
      </c>
      <c r="AF125">
        <f t="shared" si="90"/>
        <v>2.7562499999999996</v>
      </c>
      <c r="AG125">
        <f t="shared" si="91"/>
        <v>10.1875</v>
      </c>
      <c r="AH125">
        <f t="shared" si="92"/>
        <v>0</v>
      </c>
      <c r="AI125">
        <f t="shared" si="93"/>
        <v>2.5</v>
      </c>
      <c r="AJ125">
        <f t="shared" si="94"/>
        <v>10.44375</v>
      </c>
      <c r="AK125">
        <f t="shared" si="119"/>
        <v>11.520293750000002</v>
      </c>
      <c r="AL125">
        <f t="shared" si="120"/>
        <v>18.729706249999996</v>
      </c>
      <c r="AM125">
        <f>IFERROR(MIN(AL125,VLOOKUP(CONCATENATE(C125,"-to lingot"),negchutes,D125-2007,FALSE)),0)</f>
        <v>0</v>
      </c>
      <c r="AN125">
        <f t="shared" si="95"/>
        <v>18.729706249999996</v>
      </c>
      <c r="AO125" t="str">
        <f t="shared" si="125"/>
        <v>Circ 1</v>
      </c>
      <c r="AP125">
        <f>IF(AR125=0,0,IFERROR(VLOOKUP(CONCATENATE($C125,"-to massif"),negchutes,$D125-2007,FALSE),0)*AM125/AR125)</f>
        <v>0</v>
      </c>
      <c r="AQ125">
        <f>IF(AR125=0,0,IFERROR(VLOOKUP(CONCATENATE($C125,"-to copeaux"),negchutes,$D125-2007,FALSE),0)*AM125/AR125)</f>
        <v>0</v>
      </c>
      <c r="AR125">
        <f>IFERROR(VLOOKUP(CONCATENATE($C125,"-to lingot"),negchutes,$D125-2007,FALSE),0)</f>
        <v>0</v>
      </c>
      <c r="AS125">
        <f>IF(AR125=0,0,AP125*VLOOKUP(CONCATENATE($C125,"-ac massif"),negchutes,$D125-2007,FALSE))</f>
        <v>0</v>
      </c>
      <c r="AT125">
        <f>IF(AR125=0,0,AQ125*VLOOKUP(CONCATENATE($C125,"-ac copeaux"),negchutes,$D125-2007,FALSE))</f>
        <v>0</v>
      </c>
      <c r="AU125">
        <f t="shared" si="121"/>
        <v>178.56455312500003</v>
      </c>
      <c r="AV125">
        <f>IFERROR(VLOOKUP(CONCATENATE(C125,"-px lingot"),negchutes,D125-2007,FALSE),0)*AM125</f>
        <v>0</v>
      </c>
      <c r="AW125">
        <f>AN125*VLOOKUP("Marché 1",pxlingot,D125-2010,FALSE)</f>
        <v>468.24265624999992</v>
      </c>
      <c r="AX125">
        <f t="shared" si="97"/>
        <v>21.382056508264462</v>
      </c>
      <c r="AY125" t="str">
        <f t="shared" si="122"/>
        <v>VAR</v>
      </c>
      <c r="AZ125">
        <f t="shared" si="123"/>
        <v>2.5865437499999997</v>
      </c>
      <c r="BA125">
        <f>MAX(VLOOKUP(VLOOKUP(C125,descmarche,28,FALSE),pxlingot,D125-2010,FALSE),AX125)</f>
        <v>21.382056508264462</v>
      </c>
      <c r="BB125">
        <f t="shared" si="98"/>
        <v>646.80720937499996</v>
      </c>
      <c r="BC125" t="str">
        <f t="shared" si="124"/>
        <v>Circ 1</v>
      </c>
    </row>
    <row r="126" spans="1:55" x14ac:dyDescent="0.25">
      <c r="A126" t="s">
        <v>69</v>
      </c>
      <c r="B126" s="4" t="s">
        <v>44</v>
      </c>
      <c r="C126" t="str">
        <f t="shared" si="101"/>
        <v>EcoTi-03</v>
      </c>
      <c r="D126">
        <v>2017</v>
      </c>
      <c r="E126">
        <v>50</v>
      </c>
      <c r="F126" t="str">
        <f t="shared" si="65"/>
        <v>Motoristes Pièces</v>
      </c>
      <c r="G126" t="str">
        <f t="shared" si="102"/>
        <v>Motoristes Pièces source EcoTi Simple Melt</v>
      </c>
      <c r="H126" t="str">
        <f t="shared" si="103"/>
        <v>Moteurs</v>
      </c>
      <c r="I126">
        <f t="shared" si="104"/>
        <v>5</v>
      </c>
      <c r="J126">
        <f t="shared" si="105"/>
        <v>1210</v>
      </c>
      <c r="K126">
        <f t="shared" si="106"/>
        <v>50</v>
      </c>
      <c r="L126">
        <f t="shared" si="107"/>
        <v>60.5</v>
      </c>
      <c r="M126">
        <f t="shared" si="108"/>
        <v>2.6249999999999996</v>
      </c>
      <c r="N126">
        <f t="shared" si="109"/>
        <v>2.8874999999999997</v>
      </c>
      <c r="O126" t="str">
        <f t="shared" si="110"/>
        <v>Circ 1</v>
      </c>
      <c r="P126">
        <f>VLOOKUP(O126,pxmassif,D126-2010,FALSE)*M126</f>
        <v>2.6249999999999996</v>
      </c>
      <c r="Q126">
        <f>VLOOKUP(O126,pxcopeau,D126-2010,FALSE)*N126</f>
        <v>1.7324999999999997</v>
      </c>
      <c r="R126" t="str">
        <f t="shared" si="111"/>
        <v>AD PAMIERS</v>
      </c>
      <c r="S126">
        <f t="shared" si="112"/>
        <v>2.375</v>
      </c>
      <c r="T126">
        <f t="shared" si="113"/>
        <v>18</v>
      </c>
      <c r="U126" t="str">
        <f t="shared" si="114"/>
        <v>Circ 1</v>
      </c>
      <c r="V126">
        <f>VLOOKUP(U126,pxmassif,$D126-2010,FALSE)*S126</f>
        <v>2.375</v>
      </c>
      <c r="W126">
        <f>VLOOKUP(U126,pxcopeau,$D126-2010,FALSE)*T126</f>
        <v>10.799999999999999</v>
      </c>
      <c r="X126" t="str">
        <f t="shared" si="115"/>
        <v>Client</v>
      </c>
      <c r="Y126">
        <f t="shared" si="116"/>
        <v>0</v>
      </c>
      <c r="Z126">
        <f t="shared" si="117"/>
        <v>0</v>
      </c>
      <c r="AA126" t="str">
        <f t="shared" si="118"/>
        <v>Circ 1</v>
      </c>
      <c r="AB126">
        <f>VLOOKUP(AA126,pxmassif,$D126-2010,FALSE)*Y126</f>
        <v>0</v>
      </c>
      <c r="AC126">
        <f>VLOOKUP(AA126,pxcopeau,$D126-2010,FALSE)*Z126</f>
        <v>0</v>
      </c>
      <c r="AD126">
        <f t="shared" si="88"/>
        <v>5</v>
      </c>
      <c r="AE126">
        <f t="shared" si="89"/>
        <v>20.887499999999999</v>
      </c>
      <c r="AF126">
        <f t="shared" si="90"/>
        <v>5.5124999999999993</v>
      </c>
      <c r="AG126">
        <f t="shared" si="91"/>
        <v>20.375</v>
      </c>
      <c r="AH126">
        <f t="shared" si="92"/>
        <v>0</v>
      </c>
      <c r="AI126">
        <f t="shared" si="93"/>
        <v>5</v>
      </c>
      <c r="AJ126">
        <f t="shared" si="94"/>
        <v>20.887499999999999</v>
      </c>
      <c r="AK126">
        <f t="shared" si="119"/>
        <v>23.040587500000004</v>
      </c>
      <c r="AL126">
        <f t="shared" si="120"/>
        <v>37.459412499999992</v>
      </c>
      <c r="AM126">
        <f>IFERROR(MIN(AL126,VLOOKUP(CONCATENATE(C126,"-to lingot"),negchutes,D126-2007,FALSE)),0)</f>
        <v>0</v>
      </c>
      <c r="AN126">
        <f t="shared" si="95"/>
        <v>37.459412499999992</v>
      </c>
      <c r="AO126" t="str">
        <f t="shared" si="125"/>
        <v>Circ 1</v>
      </c>
      <c r="AP126">
        <f>IF(AR126=0,0,IFERROR(VLOOKUP(CONCATENATE($C126,"-to massif"),negchutes,$D126-2007,FALSE),0)*AM126/AR126)</f>
        <v>0</v>
      </c>
      <c r="AQ126">
        <f>IF(AR126=0,0,IFERROR(VLOOKUP(CONCATENATE($C126,"-to copeaux"),negchutes,$D126-2007,FALSE),0)*AM126/AR126)</f>
        <v>0</v>
      </c>
      <c r="AR126">
        <f>IFERROR(VLOOKUP(CONCATENATE($C126,"-to lingot"),negchutes,$D126-2007,FALSE),0)</f>
        <v>0</v>
      </c>
      <c r="AS126">
        <f>IF(AR126=0,0,AP126*VLOOKUP(CONCATENATE($C126,"-ac massif"),negchutes,$D126-2007,FALSE))</f>
        <v>0</v>
      </c>
      <c r="AT126">
        <f>IF(AR126=0,0,AQ126*VLOOKUP(CONCATENATE($C126,"-ac copeaux"),negchutes,$D126-2007,FALSE))</f>
        <v>0</v>
      </c>
      <c r="AU126">
        <f t="shared" si="121"/>
        <v>357.12910625000006</v>
      </c>
      <c r="AV126">
        <f>IFERROR(VLOOKUP(CONCATENATE(C126,"-px lingot"),negchutes,D126-2007,FALSE),0)*AM126</f>
        <v>0</v>
      </c>
      <c r="AW126">
        <f>AN126*VLOOKUP("Marché 1",pxlingot,D126-2010,FALSE)</f>
        <v>936.48531249999985</v>
      </c>
      <c r="AX126">
        <f t="shared" si="97"/>
        <v>21.382056508264462</v>
      </c>
      <c r="AY126" t="str">
        <f t="shared" si="122"/>
        <v>VAR</v>
      </c>
      <c r="AZ126">
        <f t="shared" si="123"/>
        <v>5.1730874999999994</v>
      </c>
      <c r="BA126">
        <f>MAX(VLOOKUP(VLOOKUP(C126,descmarche,28,FALSE),pxlingot,D126-2010,FALSE),AX126)</f>
        <v>21.382056508264462</v>
      </c>
      <c r="BB126">
        <f t="shared" si="98"/>
        <v>1293.6144187499999</v>
      </c>
      <c r="BC126" t="str">
        <f t="shared" si="124"/>
        <v>Circ 1</v>
      </c>
    </row>
    <row r="127" spans="1:55" x14ac:dyDescent="0.25">
      <c r="A127" t="s">
        <v>69</v>
      </c>
      <c r="B127" s="4" t="s">
        <v>44</v>
      </c>
      <c r="C127" t="str">
        <f t="shared" si="101"/>
        <v>EcoTi-03</v>
      </c>
      <c r="D127">
        <v>2018</v>
      </c>
      <c r="E127">
        <v>100</v>
      </c>
      <c r="F127" t="str">
        <f t="shared" si="65"/>
        <v>Motoristes Pièces</v>
      </c>
      <c r="G127" t="str">
        <f t="shared" si="102"/>
        <v>Motoristes Pièces source EcoTi Simple Melt</v>
      </c>
      <c r="H127" t="str">
        <f t="shared" si="103"/>
        <v>Moteurs</v>
      </c>
      <c r="I127">
        <f t="shared" si="104"/>
        <v>5</v>
      </c>
      <c r="J127">
        <f t="shared" si="105"/>
        <v>1210</v>
      </c>
      <c r="K127">
        <f t="shared" si="106"/>
        <v>100</v>
      </c>
      <c r="L127">
        <f t="shared" si="107"/>
        <v>121</v>
      </c>
      <c r="M127">
        <f t="shared" si="108"/>
        <v>5.2499999999999991</v>
      </c>
      <c r="N127">
        <f t="shared" si="109"/>
        <v>5.7749999999999995</v>
      </c>
      <c r="O127" t="str">
        <f t="shared" si="110"/>
        <v>Circ 1</v>
      </c>
      <c r="P127">
        <f>VLOOKUP(O127,pxmassif,D127-2010,FALSE)*M127</f>
        <v>5.2499999999999991</v>
      </c>
      <c r="Q127">
        <f>VLOOKUP(O127,pxcopeau,D127-2010,FALSE)*N127</f>
        <v>3.4649999999999994</v>
      </c>
      <c r="R127" t="str">
        <f t="shared" si="111"/>
        <v>AD PAMIERS</v>
      </c>
      <c r="S127">
        <f t="shared" si="112"/>
        <v>4.75</v>
      </c>
      <c r="T127">
        <f t="shared" si="113"/>
        <v>36</v>
      </c>
      <c r="U127" t="str">
        <f t="shared" si="114"/>
        <v>Circ 1</v>
      </c>
      <c r="V127">
        <f>VLOOKUP(U127,pxmassif,$D127-2010,FALSE)*S127</f>
        <v>4.75</v>
      </c>
      <c r="W127">
        <f>VLOOKUP(U127,pxcopeau,$D127-2010,FALSE)*T127</f>
        <v>21.599999999999998</v>
      </c>
      <c r="X127" t="str">
        <f t="shared" si="115"/>
        <v>Client</v>
      </c>
      <c r="Y127">
        <f t="shared" si="116"/>
        <v>0</v>
      </c>
      <c r="Z127">
        <f t="shared" si="117"/>
        <v>0</v>
      </c>
      <c r="AA127" t="str">
        <f t="shared" si="118"/>
        <v>Circ 1</v>
      </c>
      <c r="AB127">
        <f>VLOOKUP(AA127,pxmassif,$D127-2010,FALSE)*Y127</f>
        <v>0</v>
      </c>
      <c r="AC127">
        <f>VLOOKUP(AA127,pxcopeau,$D127-2010,FALSE)*Z127</f>
        <v>0</v>
      </c>
      <c r="AD127">
        <f t="shared" si="88"/>
        <v>10</v>
      </c>
      <c r="AE127">
        <f t="shared" si="89"/>
        <v>41.774999999999999</v>
      </c>
      <c r="AF127">
        <f t="shared" si="90"/>
        <v>11.024999999999999</v>
      </c>
      <c r="AG127">
        <f t="shared" si="91"/>
        <v>40.75</v>
      </c>
      <c r="AH127">
        <f t="shared" si="92"/>
        <v>0</v>
      </c>
      <c r="AI127">
        <f t="shared" si="93"/>
        <v>10</v>
      </c>
      <c r="AJ127">
        <f t="shared" si="94"/>
        <v>41.774999999999999</v>
      </c>
      <c r="AK127">
        <f t="shared" si="119"/>
        <v>46.081175000000009</v>
      </c>
      <c r="AL127">
        <f t="shared" si="120"/>
        <v>74.918824999999984</v>
      </c>
      <c r="AM127">
        <f>IFERROR(MIN(AL127,VLOOKUP(CONCATENATE(C127,"-to lingot"),negchutes,D127-2007,FALSE)),0)</f>
        <v>0</v>
      </c>
      <c r="AN127">
        <f t="shared" si="95"/>
        <v>74.918824999999984</v>
      </c>
      <c r="AO127" t="str">
        <f t="shared" si="125"/>
        <v>Circ 1</v>
      </c>
      <c r="AP127">
        <f>IF(AR127=0,0,IFERROR(VLOOKUP(CONCATENATE($C127,"-to massif"),negchutes,$D127-2007,FALSE),0)*AM127/AR127)</f>
        <v>0</v>
      </c>
      <c r="AQ127">
        <f>IF(AR127=0,0,IFERROR(VLOOKUP(CONCATENATE($C127,"-to copeaux"),negchutes,$D127-2007,FALSE),0)*AM127/AR127)</f>
        <v>0</v>
      </c>
      <c r="AR127">
        <f>IFERROR(VLOOKUP(CONCATENATE($C127,"-to lingot"),negchutes,$D127-2007,FALSE),0)</f>
        <v>0</v>
      </c>
      <c r="AS127">
        <f>IF(AR127=0,0,AP127*VLOOKUP(CONCATENATE($C127,"-ac massif"),negchutes,$D127-2007,FALSE))</f>
        <v>0</v>
      </c>
      <c r="AT127">
        <f>IF(AR127=0,0,AQ127*VLOOKUP(CONCATENATE($C127,"-ac copeaux"),negchutes,$D127-2007,FALSE))</f>
        <v>0</v>
      </c>
      <c r="AU127">
        <f t="shared" si="121"/>
        <v>714.25821250000013</v>
      </c>
      <c r="AV127">
        <f>IFERROR(VLOOKUP(CONCATENATE(C127,"-px lingot"),negchutes,D127-2007,FALSE),0)*AM127</f>
        <v>0</v>
      </c>
      <c r="AW127">
        <f>AN127*VLOOKUP("Marché 1",pxlingot,D127-2010,FALSE)</f>
        <v>1872.9706249999997</v>
      </c>
      <c r="AX127">
        <f t="shared" si="97"/>
        <v>21.382056508264462</v>
      </c>
      <c r="AY127" t="str">
        <f t="shared" si="122"/>
        <v>VAR</v>
      </c>
      <c r="AZ127">
        <f t="shared" si="123"/>
        <v>10.346174999999999</v>
      </c>
      <c r="BA127">
        <f>MAX(VLOOKUP(VLOOKUP(C127,descmarche,28,FALSE),pxlingot,D127-2010,FALSE),AX127)</f>
        <v>21.382056508264462</v>
      </c>
      <c r="BB127">
        <f t="shared" si="98"/>
        <v>2587.2288374999998</v>
      </c>
      <c r="BC127" t="str">
        <f t="shared" si="124"/>
        <v>Circ 1</v>
      </c>
    </row>
    <row r="128" spans="1:55" x14ac:dyDescent="0.25">
      <c r="A128" t="s">
        <v>69</v>
      </c>
      <c r="B128" s="4" t="s">
        <v>44</v>
      </c>
      <c r="C128" t="str">
        <f t="shared" si="101"/>
        <v>EcoTi-03</v>
      </c>
      <c r="D128">
        <v>2019</v>
      </c>
      <c r="E128">
        <v>190</v>
      </c>
      <c r="F128" t="str">
        <f t="shared" si="65"/>
        <v>Motoristes Pièces</v>
      </c>
      <c r="G128" t="str">
        <f t="shared" si="102"/>
        <v>Motoristes Pièces source EcoTi Simple Melt</v>
      </c>
      <c r="H128" t="str">
        <f t="shared" si="103"/>
        <v>Moteurs</v>
      </c>
      <c r="I128">
        <f t="shared" si="104"/>
        <v>5</v>
      </c>
      <c r="J128">
        <f t="shared" si="105"/>
        <v>1210</v>
      </c>
      <c r="K128">
        <f t="shared" si="106"/>
        <v>190</v>
      </c>
      <c r="L128">
        <f t="shared" si="107"/>
        <v>229.9</v>
      </c>
      <c r="M128">
        <f t="shared" si="108"/>
        <v>9.9749999999999979</v>
      </c>
      <c r="N128">
        <f t="shared" si="109"/>
        <v>10.972499999999998</v>
      </c>
      <c r="O128" t="str">
        <f t="shared" si="110"/>
        <v>Circ 1</v>
      </c>
      <c r="P128">
        <f>VLOOKUP(O128,pxmassif,D128-2010,FALSE)*M128</f>
        <v>9.9749999999999979</v>
      </c>
      <c r="Q128">
        <f>VLOOKUP(O128,pxcopeau,D128-2010,FALSE)*N128</f>
        <v>6.583499999999999</v>
      </c>
      <c r="R128" t="str">
        <f t="shared" si="111"/>
        <v>AD PAMIERS</v>
      </c>
      <c r="S128">
        <f t="shared" si="112"/>
        <v>9.0250000000000004</v>
      </c>
      <c r="T128">
        <f t="shared" si="113"/>
        <v>68.400000000000006</v>
      </c>
      <c r="U128" t="str">
        <f t="shared" si="114"/>
        <v>Circ 1</v>
      </c>
      <c r="V128">
        <f>VLOOKUP(U128,pxmassif,$D128-2010,FALSE)*S128</f>
        <v>9.0250000000000004</v>
      </c>
      <c r="W128">
        <f>VLOOKUP(U128,pxcopeau,$D128-2010,FALSE)*T128</f>
        <v>41.04</v>
      </c>
      <c r="X128" t="str">
        <f t="shared" si="115"/>
        <v>Client</v>
      </c>
      <c r="Y128">
        <f t="shared" si="116"/>
        <v>0</v>
      </c>
      <c r="Z128">
        <f t="shared" si="117"/>
        <v>0</v>
      </c>
      <c r="AA128" t="str">
        <f t="shared" si="118"/>
        <v>Circ 1</v>
      </c>
      <c r="AB128">
        <f>VLOOKUP(AA128,pxmassif,$D128-2010,FALSE)*Y128</f>
        <v>0</v>
      </c>
      <c r="AC128">
        <f>VLOOKUP(AA128,pxcopeau,$D128-2010,FALSE)*Z128</f>
        <v>0</v>
      </c>
      <c r="AD128">
        <f t="shared" si="88"/>
        <v>19</v>
      </c>
      <c r="AE128">
        <f t="shared" si="89"/>
        <v>79.372500000000002</v>
      </c>
      <c r="AF128">
        <f t="shared" si="90"/>
        <v>20.947499999999998</v>
      </c>
      <c r="AG128">
        <f t="shared" si="91"/>
        <v>77.425000000000011</v>
      </c>
      <c r="AH128">
        <f t="shared" si="92"/>
        <v>0</v>
      </c>
      <c r="AI128">
        <f t="shared" si="93"/>
        <v>19</v>
      </c>
      <c r="AJ128">
        <f t="shared" si="94"/>
        <v>79.372500000000002</v>
      </c>
      <c r="AK128">
        <f t="shared" si="119"/>
        <v>87.554232500000012</v>
      </c>
      <c r="AL128">
        <f t="shared" si="120"/>
        <v>142.34576749999997</v>
      </c>
      <c r="AM128">
        <f>IFERROR(MIN(AL128,VLOOKUP(CONCATENATE(C128,"-to lingot"),negchutes,D128-2007,FALSE)),0)</f>
        <v>0</v>
      </c>
      <c r="AN128">
        <f t="shared" si="95"/>
        <v>142.34576749999997</v>
      </c>
      <c r="AO128" t="str">
        <f t="shared" si="125"/>
        <v>Circ 1</v>
      </c>
      <c r="AP128">
        <f>IF(AR128=0,0,IFERROR(VLOOKUP(CONCATENATE($C128,"-to massif"),negchutes,$D128-2007,FALSE),0)*AM128/AR128)</f>
        <v>0</v>
      </c>
      <c r="AQ128">
        <f>IF(AR128=0,0,IFERROR(VLOOKUP(CONCATENATE($C128,"-to copeaux"),negchutes,$D128-2007,FALSE),0)*AM128/AR128)</f>
        <v>0</v>
      </c>
      <c r="AR128">
        <f>IFERROR(VLOOKUP(CONCATENATE($C128,"-to lingot"),negchutes,$D128-2007,FALSE),0)</f>
        <v>0</v>
      </c>
      <c r="AS128">
        <f>IF(AR128=0,0,AP128*VLOOKUP(CONCATENATE($C128,"-ac massif"),negchutes,$D128-2007,FALSE))</f>
        <v>0</v>
      </c>
      <c r="AT128">
        <f>IF(AR128=0,0,AQ128*VLOOKUP(CONCATENATE($C128,"-ac copeaux"),negchutes,$D128-2007,FALSE))</f>
        <v>0</v>
      </c>
      <c r="AU128">
        <f t="shared" si="121"/>
        <v>1357.0906037500001</v>
      </c>
      <c r="AV128">
        <f>IFERROR(VLOOKUP(CONCATENATE(C128,"-px lingot"),negchutes,D128-2007,FALSE),0)*AM128</f>
        <v>0</v>
      </c>
      <c r="AW128">
        <f>AN128*VLOOKUP("Marché 1",pxlingot,D128-2010,FALSE)</f>
        <v>3558.6441874999991</v>
      </c>
      <c r="AX128">
        <f t="shared" si="97"/>
        <v>21.382056508264462</v>
      </c>
      <c r="AY128" t="str">
        <f t="shared" si="122"/>
        <v>VAR</v>
      </c>
      <c r="AZ128">
        <f t="shared" si="123"/>
        <v>19.657732499999998</v>
      </c>
      <c r="BA128">
        <f>MAX(VLOOKUP(VLOOKUP(C128,descmarche,28,FALSE),pxlingot,D128-2010,FALSE),AX128)</f>
        <v>21.382056508264462</v>
      </c>
      <c r="BB128">
        <f t="shared" si="98"/>
        <v>4915.7347912499999</v>
      </c>
      <c r="BC128" t="str">
        <f t="shared" si="124"/>
        <v>Circ 1</v>
      </c>
    </row>
    <row r="129" spans="1:55" x14ac:dyDescent="0.25">
      <c r="A129" t="s">
        <v>69</v>
      </c>
      <c r="B129" s="4" t="s">
        <v>44</v>
      </c>
      <c r="C129" t="str">
        <f t="shared" si="101"/>
        <v>EcoTi-03</v>
      </c>
      <c r="D129">
        <v>2020</v>
      </c>
      <c r="E129">
        <v>250</v>
      </c>
      <c r="F129" t="str">
        <f t="shared" si="65"/>
        <v>Motoristes Pièces</v>
      </c>
      <c r="G129" t="str">
        <f t="shared" si="102"/>
        <v>Motoristes Pièces source EcoTi Simple Melt</v>
      </c>
      <c r="H129" t="str">
        <f t="shared" si="103"/>
        <v>Moteurs</v>
      </c>
      <c r="I129">
        <f t="shared" si="104"/>
        <v>5</v>
      </c>
      <c r="J129">
        <f t="shared" si="105"/>
        <v>1210</v>
      </c>
      <c r="K129">
        <f t="shared" si="106"/>
        <v>250</v>
      </c>
      <c r="L129">
        <f t="shared" si="107"/>
        <v>302.5</v>
      </c>
      <c r="M129">
        <f t="shared" si="108"/>
        <v>13.124999999999998</v>
      </c>
      <c r="N129">
        <f t="shared" si="109"/>
        <v>14.437499999999998</v>
      </c>
      <c r="O129" t="str">
        <f t="shared" si="110"/>
        <v>Circ 1</v>
      </c>
      <c r="P129">
        <f>VLOOKUP(O129,pxmassif,D129-2010,FALSE)*M129</f>
        <v>13.124999999999998</v>
      </c>
      <c r="Q129">
        <f>VLOOKUP(O129,pxcopeau,D129-2010,FALSE)*N129</f>
        <v>8.6624999999999979</v>
      </c>
      <c r="R129" t="str">
        <f t="shared" si="111"/>
        <v>AD PAMIERS</v>
      </c>
      <c r="S129">
        <f t="shared" si="112"/>
        <v>11.875</v>
      </c>
      <c r="T129">
        <f t="shared" si="113"/>
        <v>90</v>
      </c>
      <c r="U129" t="str">
        <f t="shared" si="114"/>
        <v>Circ 1</v>
      </c>
      <c r="V129">
        <f>VLOOKUP(U129,pxmassif,$D129-2010,FALSE)*S129</f>
        <v>11.875</v>
      </c>
      <c r="W129">
        <f>VLOOKUP(U129,pxcopeau,$D129-2010,FALSE)*T129</f>
        <v>54</v>
      </c>
      <c r="X129" t="str">
        <f t="shared" si="115"/>
        <v>Client</v>
      </c>
      <c r="Y129">
        <f t="shared" si="116"/>
        <v>0</v>
      </c>
      <c r="Z129">
        <f t="shared" si="117"/>
        <v>0</v>
      </c>
      <c r="AA129" t="str">
        <f t="shared" si="118"/>
        <v>Circ 1</v>
      </c>
      <c r="AB129">
        <f>VLOOKUP(AA129,pxmassif,$D129-2010,FALSE)*Y129</f>
        <v>0</v>
      </c>
      <c r="AC129">
        <f>VLOOKUP(AA129,pxcopeau,$D129-2010,FALSE)*Z129</f>
        <v>0</v>
      </c>
      <c r="AD129">
        <f t="shared" si="88"/>
        <v>25</v>
      </c>
      <c r="AE129">
        <f t="shared" si="89"/>
        <v>104.4375</v>
      </c>
      <c r="AF129">
        <f t="shared" si="90"/>
        <v>27.562499999999996</v>
      </c>
      <c r="AG129">
        <f t="shared" si="91"/>
        <v>101.875</v>
      </c>
      <c r="AH129">
        <f t="shared" si="92"/>
        <v>0</v>
      </c>
      <c r="AI129">
        <f t="shared" si="93"/>
        <v>25</v>
      </c>
      <c r="AJ129">
        <f t="shared" si="94"/>
        <v>104.4375</v>
      </c>
      <c r="AK129">
        <f t="shared" si="119"/>
        <v>115.20293750000002</v>
      </c>
      <c r="AL129">
        <f t="shared" si="120"/>
        <v>187.29706249999998</v>
      </c>
      <c r="AM129">
        <f>IFERROR(MIN(AL129,VLOOKUP(CONCATENATE(C129,"-to lingot"),negchutes,D129-2007,FALSE)),0)</f>
        <v>0</v>
      </c>
      <c r="AN129">
        <f t="shared" si="95"/>
        <v>187.29706249999998</v>
      </c>
      <c r="AO129" t="str">
        <f t="shared" si="125"/>
        <v>Circ 1</v>
      </c>
      <c r="AP129">
        <f>IF(AR129=0,0,IFERROR(VLOOKUP(CONCATENATE($C129,"-to massif"),negchutes,$D129-2007,FALSE),0)*AM129/AR129)</f>
        <v>0</v>
      </c>
      <c r="AQ129">
        <f>IF(AR129=0,0,IFERROR(VLOOKUP(CONCATENATE($C129,"-to copeaux"),negchutes,$D129-2007,FALSE),0)*AM129/AR129)</f>
        <v>0</v>
      </c>
      <c r="AR129">
        <f>IFERROR(VLOOKUP(CONCATENATE($C129,"-to lingot"),negchutes,$D129-2007,FALSE),0)</f>
        <v>0</v>
      </c>
      <c r="AS129">
        <f>IF(AR129=0,0,AP129*VLOOKUP(CONCATENATE($C129,"-ac massif"),negchutes,$D129-2007,FALSE))</f>
        <v>0</v>
      </c>
      <c r="AT129">
        <f>IF(AR129=0,0,AQ129*VLOOKUP(CONCATENATE($C129,"-ac copeaux"),negchutes,$D129-2007,FALSE))</f>
        <v>0</v>
      </c>
      <c r="AU129">
        <f t="shared" si="121"/>
        <v>1785.6455312500002</v>
      </c>
      <c r="AV129">
        <f>IFERROR(VLOOKUP(CONCATENATE(C129,"-px lingot"),negchutes,D129-2007,FALSE),0)*AM129</f>
        <v>0</v>
      </c>
      <c r="AW129">
        <f>AN129*VLOOKUP("Marché 1",pxlingot,D129-2010,FALSE)</f>
        <v>4682.4265624999998</v>
      </c>
      <c r="AX129">
        <f t="shared" si="97"/>
        <v>21.382056508264462</v>
      </c>
      <c r="AY129" t="str">
        <f t="shared" si="122"/>
        <v>VAR</v>
      </c>
      <c r="AZ129">
        <f t="shared" si="123"/>
        <v>25.865437499999999</v>
      </c>
      <c r="BA129">
        <f>MAX(VLOOKUP(VLOOKUP(C129,descmarche,28,FALSE),pxlingot,D129-2010,FALSE),AX129)</f>
        <v>21.382056508264462</v>
      </c>
      <c r="BB129">
        <f t="shared" si="98"/>
        <v>6468.07209375</v>
      </c>
      <c r="BC129" t="str">
        <f t="shared" si="124"/>
        <v>Circ 1</v>
      </c>
    </row>
    <row r="130" spans="1:55" x14ac:dyDescent="0.25">
      <c r="A130" t="s">
        <v>69</v>
      </c>
      <c r="B130" s="4" t="s">
        <v>44</v>
      </c>
      <c r="C130" t="str">
        <f t="shared" si="101"/>
        <v>EcoTi-03</v>
      </c>
      <c r="D130">
        <v>2021</v>
      </c>
      <c r="E130">
        <v>200</v>
      </c>
      <c r="F130" t="str">
        <f t="shared" si="65"/>
        <v>Motoristes Pièces</v>
      </c>
      <c r="G130" t="str">
        <f t="shared" si="102"/>
        <v>Motoristes Pièces source EcoTi Simple Melt</v>
      </c>
      <c r="H130" t="str">
        <f t="shared" si="103"/>
        <v>Moteurs</v>
      </c>
      <c r="I130">
        <f t="shared" si="104"/>
        <v>5</v>
      </c>
      <c r="J130">
        <f t="shared" si="105"/>
        <v>1210</v>
      </c>
      <c r="K130">
        <f t="shared" si="106"/>
        <v>200</v>
      </c>
      <c r="L130">
        <f t="shared" si="107"/>
        <v>242</v>
      </c>
      <c r="M130">
        <f t="shared" si="108"/>
        <v>10.499999999999998</v>
      </c>
      <c r="N130">
        <f t="shared" si="109"/>
        <v>11.549999999999999</v>
      </c>
      <c r="O130" t="str">
        <f t="shared" si="110"/>
        <v>Circ 1</v>
      </c>
      <c r="P130">
        <f>VLOOKUP(O130,pxmassif,D130-2010,FALSE)*M130</f>
        <v>10.499999999999998</v>
      </c>
      <c r="Q130">
        <f>VLOOKUP(O130,pxcopeau,D130-2010,FALSE)*N130</f>
        <v>6.9299999999999988</v>
      </c>
      <c r="R130" t="str">
        <f t="shared" si="111"/>
        <v>AD PAMIERS</v>
      </c>
      <c r="S130">
        <f t="shared" si="112"/>
        <v>9.5</v>
      </c>
      <c r="T130">
        <f t="shared" si="113"/>
        <v>72</v>
      </c>
      <c r="U130" t="str">
        <f t="shared" si="114"/>
        <v>Circ 1</v>
      </c>
      <c r="V130">
        <f>VLOOKUP(U130,pxmassif,$D130-2010,FALSE)*S130</f>
        <v>9.5</v>
      </c>
      <c r="W130">
        <f>VLOOKUP(U130,pxcopeau,$D130-2010,FALSE)*T130</f>
        <v>43.199999999999996</v>
      </c>
      <c r="X130" t="str">
        <f t="shared" si="115"/>
        <v>Client</v>
      </c>
      <c r="Y130">
        <f t="shared" si="116"/>
        <v>0</v>
      </c>
      <c r="Z130">
        <f t="shared" si="117"/>
        <v>0</v>
      </c>
      <c r="AA130" t="str">
        <f t="shared" si="118"/>
        <v>Circ 1</v>
      </c>
      <c r="AB130">
        <f>VLOOKUP(AA130,pxmassif,$D130-2010,FALSE)*Y130</f>
        <v>0</v>
      </c>
      <c r="AC130">
        <f>VLOOKUP(AA130,pxcopeau,$D130-2010,FALSE)*Z130</f>
        <v>0</v>
      </c>
      <c r="AD130">
        <f t="shared" si="88"/>
        <v>20</v>
      </c>
      <c r="AE130">
        <f t="shared" si="89"/>
        <v>83.55</v>
      </c>
      <c r="AF130">
        <f t="shared" si="90"/>
        <v>22.049999999999997</v>
      </c>
      <c r="AG130">
        <f t="shared" si="91"/>
        <v>81.5</v>
      </c>
      <c r="AH130">
        <f t="shared" si="92"/>
        <v>0</v>
      </c>
      <c r="AI130">
        <f t="shared" si="93"/>
        <v>20</v>
      </c>
      <c r="AJ130">
        <f t="shared" si="94"/>
        <v>83.55</v>
      </c>
      <c r="AK130">
        <f t="shared" si="119"/>
        <v>92.162350000000018</v>
      </c>
      <c r="AL130">
        <f t="shared" si="120"/>
        <v>149.83764999999997</v>
      </c>
      <c r="AM130">
        <f>IFERROR(MIN(AL130,VLOOKUP(CONCATENATE(C130,"-to lingot"),negchutes,D130-2007,FALSE)),0)</f>
        <v>0</v>
      </c>
      <c r="AN130">
        <f t="shared" si="95"/>
        <v>149.83764999999997</v>
      </c>
      <c r="AO130" t="str">
        <f t="shared" si="125"/>
        <v>Circ 1</v>
      </c>
      <c r="AP130">
        <f>IF(AR130=0,0,IFERROR(VLOOKUP(CONCATENATE($C130,"-to massif"),negchutes,$D130-2007,FALSE),0)*AM130/AR130)</f>
        <v>0</v>
      </c>
      <c r="AQ130">
        <f>IF(AR130=0,0,IFERROR(VLOOKUP(CONCATENATE($C130,"-to copeaux"),negchutes,$D130-2007,FALSE),0)*AM130/AR130)</f>
        <v>0</v>
      </c>
      <c r="AR130">
        <f>IFERROR(VLOOKUP(CONCATENATE($C130,"-to lingot"),negchutes,$D130-2007,FALSE),0)</f>
        <v>0</v>
      </c>
      <c r="AS130">
        <f>IF(AR130=0,0,AP130*VLOOKUP(CONCATENATE($C130,"-ac massif"),negchutes,$D130-2007,FALSE))</f>
        <v>0</v>
      </c>
      <c r="AT130">
        <f>IF(AR130=0,0,AQ130*VLOOKUP(CONCATENATE($C130,"-ac copeaux"),negchutes,$D130-2007,FALSE))</f>
        <v>0</v>
      </c>
      <c r="AU130">
        <f t="shared" si="121"/>
        <v>1428.5164250000003</v>
      </c>
      <c r="AV130">
        <f>IFERROR(VLOOKUP(CONCATENATE(C130,"-px lingot"),negchutes,D130-2007,FALSE),0)*AM130</f>
        <v>0</v>
      </c>
      <c r="AW130">
        <f>AN130*VLOOKUP("Marché 1",pxlingot,D130-2010,FALSE)</f>
        <v>3745.9412499999994</v>
      </c>
      <c r="AX130">
        <f t="shared" si="97"/>
        <v>21.382056508264462</v>
      </c>
      <c r="AY130" t="str">
        <f t="shared" si="122"/>
        <v>VAR</v>
      </c>
      <c r="AZ130">
        <f t="shared" si="123"/>
        <v>20.692349999999998</v>
      </c>
      <c r="BA130">
        <f>MAX(VLOOKUP(VLOOKUP(C130,descmarche,28,FALSE),pxlingot,D130-2010,FALSE),AX130)</f>
        <v>21.382056508264462</v>
      </c>
      <c r="BB130">
        <f t="shared" si="98"/>
        <v>5174.4576749999997</v>
      </c>
      <c r="BC130" t="str">
        <f t="shared" si="124"/>
        <v>Circ 1</v>
      </c>
    </row>
    <row r="131" spans="1:55" x14ac:dyDescent="0.25">
      <c r="A131" t="s">
        <v>69</v>
      </c>
      <c r="B131" s="4" t="s">
        <v>44</v>
      </c>
      <c r="C131" t="str">
        <f t="shared" si="101"/>
        <v>EcoTi-03</v>
      </c>
      <c r="D131">
        <v>2022</v>
      </c>
      <c r="E131">
        <v>200</v>
      </c>
      <c r="F131" t="str">
        <f t="shared" ref="F131:F194" si="126">VLOOKUP($C131,descmarche,4,FALSE)</f>
        <v>Motoristes Pièces</v>
      </c>
      <c r="G131" t="str">
        <f t="shared" ref="G131:G162" si="127">VLOOKUP($C131,descmarche,5,FALSE)</f>
        <v>Motoristes Pièces source EcoTi Simple Melt</v>
      </c>
      <c r="H131" t="str">
        <f t="shared" si="103"/>
        <v>Moteurs</v>
      </c>
      <c r="I131">
        <f t="shared" ref="I131:I162" si="128">VLOOKUP($C131,descmarche,7,FALSE)</f>
        <v>5</v>
      </c>
      <c r="J131">
        <f t="shared" ref="J131:J162" si="129">VLOOKUP($C131,descmarche,9,FALSE)*1000</f>
        <v>1210</v>
      </c>
      <c r="K131">
        <f t="shared" si="106"/>
        <v>200</v>
      </c>
      <c r="L131">
        <f t="shared" ref="L131:L162" si="130">VLOOKUP($C131,descmarche,11,FALSE)*$E131</f>
        <v>242</v>
      </c>
      <c r="M131">
        <f t="shared" ref="M131:M162" si="131">VLOOKUP($C131,descmarche,12,FALSE)*$E131*VLOOKUP("UKAD",recupchute,2,FALSE)</f>
        <v>10.499999999999998</v>
      </c>
      <c r="N131">
        <f t="shared" ref="N131:N162" si="132">VLOOKUP($C131,descmarche,13,FALSE)*$E131*VLOOKUP("UKAD",recupchute,3,FALSE)</f>
        <v>11.549999999999999</v>
      </c>
      <c r="O131" t="str">
        <f t="shared" ref="O131:O162" si="133">VLOOKUP($C131,descmarche,14,FALSE)</f>
        <v>Circ 1</v>
      </c>
      <c r="P131">
        <f>VLOOKUP(O131,pxmassif,D131-2010,FALSE)*M131</f>
        <v>10.499999999999998</v>
      </c>
      <c r="Q131">
        <f>VLOOKUP(O131,pxcopeau,D131-2010,FALSE)*N131</f>
        <v>6.9299999999999988</v>
      </c>
      <c r="R131" t="str">
        <f t="shared" ref="R131:R162" si="134">VLOOKUP(C131,descmarche,22,FALSE)</f>
        <v>AD PAMIERS</v>
      </c>
      <c r="S131">
        <f t="shared" ref="S131:S162" si="135">VLOOKUP($C131,descmarche,15,FALSE)*$E131*VLOOKUP(R131,recupchute,2,FALSE)</f>
        <v>9.5</v>
      </c>
      <c r="T131">
        <f t="shared" ref="T131:T162" si="136">VLOOKUP($C131,descmarche,16,FALSE)*$E131*VLOOKUP(R131,recupchute,3,FALSE)</f>
        <v>72</v>
      </c>
      <c r="U131" t="str">
        <f t="shared" ref="U131:U162" si="137">VLOOKUP($C131,descmarche,17,FALSE)</f>
        <v>Circ 1</v>
      </c>
      <c r="V131">
        <f>VLOOKUP(U131,pxmassif,$D131-2010,FALSE)*S131</f>
        <v>9.5</v>
      </c>
      <c r="W131">
        <f>VLOOKUP(U131,pxcopeau,$D131-2010,FALSE)*T131</f>
        <v>43.199999999999996</v>
      </c>
      <c r="X131" t="str">
        <f t="shared" ref="X131:X162" si="138">VLOOKUP(C131,descmarche,23,FALSE)</f>
        <v>Client</v>
      </c>
      <c r="Y131">
        <f t="shared" ref="Y131:Y162" si="139">VLOOKUP($C131,descmarche,18,FALSE)*$E131*VLOOKUP(X131,recupchute,2,FALSE)</f>
        <v>0</v>
      </c>
      <c r="Z131">
        <f t="shared" ref="Z131:Z162" si="140">VLOOKUP($C131,descmarche,19,FALSE)*$E131*VLOOKUP(X131,recupchute,3,FALSE)</f>
        <v>0</v>
      </c>
      <c r="AA131" t="str">
        <f t="shared" ref="AA131:AA162" si="141">VLOOKUP($C131,descmarche,20,FALSE)</f>
        <v>Circ 1</v>
      </c>
      <c r="AB131">
        <f>VLOOKUP(AA131,pxmassif,$D131-2010,FALSE)*Y131</f>
        <v>0</v>
      </c>
      <c r="AC131">
        <f>VLOOKUP(AA131,pxcopeau,$D131-2010,FALSE)*Z131</f>
        <v>0</v>
      </c>
      <c r="AD131">
        <f t="shared" si="88"/>
        <v>20</v>
      </c>
      <c r="AE131">
        <f t="shared" si="89"/>
        <v>83.55</v>
      </c>
      <c r="AF131">
        <f t="shared" si="90"/>
        <v>22.049999999999997</v>
      </c>
      <c r="AG131">
        <f t="shared" si="91"/>
        <v>81.5</v>
      </c>
      <c r="AH131">
        <f t="shared" si="92"/>
        <v>0</v>
      </c>
      <c r="AI131">
        <f t="shared" si="93"/>
        <v>20</v>
      </c>
      <c r="AJ131">
        <f t="shared" si="94"/>
        <v>83.55</v>
      </c>
      <c r="AK131">
        <f t="shared" ref="AK131:AK162" si="142">VLOOKUP(C131,descmarche,26,FALSE)*E131</f>
        <v>92.162350000000018</v>
      </c>
      <c r="AL131">
        <f t="shared" ref="AL131:AL162" si="143">IF(A131="EcoTI",VLOOKUP(C131,descmarche,27,FALSE)*E131,0)</f>
        <v>149.83764999999997</v>
      </c>
      <c r="AM131">
        <f>IFERROR(MIN(AL131,VLOOKUP(CONCATENATE(C131,"-to lingot"),negchutes,D131-2007,FALSE)),0)</f>
        <v>0</v>
      </c>
      <c r="AN131">
        <f t="shared" si="95"/>
        <v>149.83764999999997</v>
      </c>
      <c r="AO131" t="str">
        <f t="shared" si="125"/>
        <v>Circ 1</v>
      </c>
      <c r="AP131">
        <f>IF(AR131=0,0,IFERROR(VLOOKUP(CONCATENATE($C131,"-to massif"),negchutes,$D131-2007,FALSE),0)*AM131/AR131)</f>
        <v>0</v>
      </c>
      <c r="AQ131">
        <f>IF(AR131=0,0,IFERROR(VLOOKUP(CONCATENATE($C131,"-to copeaux"),negchutes,$D131-2007,FALSE),0)*AM131/AR131)</f>
        <v>0</v>
      </c>
      <c r="AR131">
        <f>IFERROR(VLOOKUP(CONCATENATE($C131,"-to lingot"),negchutes,$D131-2007,FALSE),0)</f>
        <v>0</v>
      </c>
      <c r="AS131">
        <f>IF(AR131=0,0,AP131*VLOOKUP(CONCATENATE($C131,"-ac massif"),negchutes,$D131-2007,FALSE))</f>
        <v>0</v>
      </c>
      <c r="AT131">
        <f>IF(AR131=0,0,AQ131*VLOOKUP(CONCATENATE($C131,"-ac copeaux"),negchutes,$D131-2007,FALSE))</f>
        <v>0</v>
      </c>
      <c r="AU131">
        <f t="shared" ref="AU131:AU162" si="144">AK131*VLOOKUP(AO131,pxlingot,D131-2010,FALSE)</f>
        <v>1428.5164250000003</v>
      </c>
      <c r="AV131">
        <f>IFERROR(VLOOKUP(CONCATENATE(C131,"-px lingot"),negchutes,D131-2007,FALSE),0)*AM131</f>
        <v>0</v>
      </c>
      <c r="AW131">
        <f>AN131*VLOOKUP("Marché 1",pxlingot,D131-2010,FALSE)</f>
        <v>3745.9412499999994</v>
      </c>
      <c r="AX131">
        <f t="shared" si="97"/>
        <v>21.382056508264462</v>
      </c>
      <c r="AY131" t="str">
        <f t="shared" ref="AY131:AY162" si="145">VLOOKUP(C131,descmarche,21,FALSE)</f>
        <v>VAR</v>
      </c>
      <c r="AZ131">
        <f t="shared" ref="AZ131:AZ162" si="146">M131*VLOOKUP(AY131,convchutes,2,FALSE)+N131*VLOOKUP(AY131,convchutes,3,FALSE)</f>
        <v>20.692349999999998</v>
      </c>
      <c r="BA131">
        <f>MAX(VLOOKUP(VLOOKUP(C131,descmarche,28,FALSE),pxlingot,D131-2010,FALSE),AX131)</f>
        <v>21.382056508264462</v>
      </c>
      <c r="BB131">
        <f t="shared" si="98"/>
        <v>5174.4576749999997</v>
      </c>
      <c r="BC131" t="str">
        <f t="shared" ref="BC131:BC162" si="147">VLOOKUP(C131,descmarche,28,FALSE)</f>
        <v>Circ 1</v>
      </c>
    </row>
    <row r="132" spans="1:55" x14ac:dyDescent="0.25">
      <c r="A132" t="s">
        <v>69</v>
      </c>
      <c r="B132" s="4" t="s">
        <v>44</v>
      </c>
      <c r="C132" t="str">
        <f t="shared" si="101"/>
        <v>EcoTi-03</v>
      </c>
      <c r="D132">
        <v>2023</v>
      </c>
      <c r="E132">
        <v>200</v>
      </c>
      <c r="F132" t="str">
        <f t="shared" si="126"/>
        <v>Motoristes Pièces</v>
      </c>
      <c r="G132" t="str">
        <f t="shared" si="127"/>
        <v>Motoristes Pièces source EcoTi Simple Melt</v>
      </c>
      <c r="H132" t="str">
        <f t="shared" si="103"/>
        <v>Moteurs</v>
      </c>
      <c r="I132">
        <f t="shared" si="128"/>
        <v>5</v>
      </c>
      <c r="J132">
        <f t="shared" si="129"/>
        <v>1210</v>
      </c>
      <c r="K132">
        <f t="shared" si="106"/>
        <v>200</v>
      </c>
      <c r="L132">
        <f t="shared" si="130"/>
        <v>242</v>
      </c>
      <c r="M132">
        <f t="shared" si="131"/>
        <v>10.499999999999998</v>
      </c>
      <c r="N132">
        <f t="shared" si="132"/>
        <v>11.549999999999999</v>
      </c>
      <c r="O132" t="str">
        <f t="shared" si="133"/>
        <v>Circ 1</v>
      </c>
      <c r="P132">
        <f>VLOOKUP(O132,pxmassif,D132-2010,FALSE)*M132</f>
        <v>10.499999999999998</v>
      </c>
      <c r="Q132">
        <f>VLOOKUP(O132,pxcopeau,D132-2010,FALSE)*N132</f>
        <v>6.9299999999999988</v>
      </c>
      <c r="R132" t="str">
        <f t="shared" si="134"/>
        <v>AD PAMIERS</v>
      </c>
      <c r="S132">
        <f t="shared" si="135"/>
        <v>9.5</v>
      </c>
      <c r="T132">
        <f t="shared" si="136"/>
        <v>72</v>
      </c>
      <c r="U132" t="str">
        <f t="shared" si="137"/>
        <v>Circ 1</v>
      </c>
      <c r="V132">
        <f>VLOOKUP(U132,pxmassif,$D132-2010,FALSE)*S132</f>
        <v>9.5</v>
      </c>
      <c r="W132">
        <f>VLOOKUP(U132,pxcopeau,$D132-2010,FALSE)*T132</f>
        <v>43.199999999999996</v>
      </c>
      <c r="X132" t="str">
        <f t="shared" si="138"/>
        <v>Client</v>
      </c>
      <c r="Y132">
        <f t="shared" si="139"/>
        <v>0</v>
      </c>
      <c r="Z132">
        <f t="shared" si="140"/>
        <v>0</v>
      </c>
      <c r="AA132" t="str">
        <f t="shared" si="141"/>
        <v>Circ 1</v>
      </c>
      <c r="AB132">
        <f>VLOOKUP(AA132,pxmassif,$D132-2010,FALSE)*Y132</f>
        <v>0</v>
      </c>
      <c r="AC132">
        <f>VLOOKUP(AA132,pxcopeau,$D132-2010,FALSE)*Z132</f>
        <v>0</v>
      </c>
      <c r="AD132">
        <f t="shared" ref="AD132:AD191" si="148">M132+S132</f>
        <v>20</v>
      </c>
      <c r="AE132">
        <f t="shared" ref="AE132:AE191" si="149">N132+T132</f>
        <v>83.55</v>
      </c>
      <c r="AF132">
        <f t="shared" ref="AF132:AF191" si="150">M132+N132</f>
        <v>22.049999999999997</v>
      </c>
      <c r="AG132">
        <f t="shared" ref="AG132:AG191" si="151">S132+T132</f>
        <v>81.5</v>
      </c>
      <c r="AH132">
        <f t="shared" ref="AH132:AH191" si="152">Y132+Z132</f>
        <v>0</v>
      </c>
      <c r="AI132">
        <f t="shared" ref="AI132:AI191" si="153">M132+S132+Y132</f>
        <v>20</v>
      </c>
      <c r="AJ132">
        <f t="shared" ref="AJ132:AJ191" si="154">N132+T132+Z132</f>
        <v>83.55</v>
      </c>
      <c r="AK132">
        <f t="shared" si="142"/>
        <v>92.162350000000018</v>
      </c>
      <c r="AL132">
        <f t="shared" si="143"/>
        <v>149.83764999999997</v>
      </c>
      <c r="AM132">
        <f>IFERROR(MIN(AL132,VLOOKUP(CONCATENATE(C132,"-to lingot"),negchutes,D132-2007,FALSE)),0)</f>
        <v>0</v>
      </c>
      <c r="AN132">
        <f t="shared" ref="AN132:AN195" si="155">AL132-AM132</f>
        <v>149.83764999999997</v>
      </c>
      <c r="AO132" t="str">
        <f t="shared" ref="AO132:AO163" si="156">VLOOKUP(C132,descmarche,28,FALSE)</f>
        <v>Circ 1</v>
      </c>
      <c r="AP132">
        <f>IF(AR132=0,0,IFERROR(VLOOKUP(CONCATENATE($C132,"-to massif"),negchutes,$D132-2007,FALSE),0)*AM132/AR132)</f>
        <v>0</v>
      </c>
      <c r="AQ132">
        <f>IF(AR132=0,0,IFERROR(VLOOKUP(CONCATENATE($C132,"-to copeaux"),negchutes,$D132-2007,FALSE),0)*AM132/AR132)</f>
        <v>0</v>
      </c>
      <c r="AR132">
        <f>IFERROR(VLOOKUP(CONCATENATE($C132,"-to lingot"),negchutes,$D132-2007,FALSE),0)</f>
        <v>0</v>
      </c>
      <c r="AS132">
        <f>IF(AR132=0,0,AP132*VLOOKUP(CONCATENATE($C132,"-ac massif"),negchutes,$D132-2007,FALSE))</f>
        <v>0</v>
      </c>
      <c r="AT132">
        <f>IF(AR132=0,0,AQ132*VLOOKUP(CONCATENATE($C132,"-ac copeaux"),negchutes,$D132-2007,FALSE))</f>
        <v>0</v>
      </c>
      <c r="AU132">
        <f t="shared" si="144"/>
        <v>1428.5164250000003</v>
      </c>
      <c r="AV132">
        <f>IFERROR(VLOOKUP(CONCATENATE(C132,"-px lingot"),negchutes,D132-2007,FALSE),0)*AM132</f>
        <v>0</v>
      </c>
      <c r="AW132">
        <f>AN132*VLOOKUP("Marché 1",pxlingot,D132-2010,FALSE)</f>
        <v>3745.9412499999994</v>
      </c>
      <c r="AX132">
        <f t="shared" ref="AX132:AX195" si="157">IF((AK132+AL132)=0,0,(AU132+AV132+AW132)/(AK132+AL132))</f>
        <v>21.382056508264462</v>
      </c>
      <c r="AY132" t="str">
        <f t="shared" si="145"/>
        <v>VAR</v>
      </c>
      <c r="AZ132">
        <f t="shared" si="146"/>
        <v>20.692349999999998</v>
      </c>
      <c r="BA132">
        <f>MAX(VLOOKUP(VLOOKUP(C132,descmarche,28,FALSE),pxlingot,D132-2010,FALSE),AX132)</f>
        <v>21.382056508264462</v>
      </c>
      <c r="BB132">
        <f t="shared" ref="BB132:BB195" si="158">BA132*L132</f>
        <v>5174.4576749999997</v>
      </c>
      <c r="BC132" t="str">
        <f t="shared" si="147"/>
        <v>Circ 1</v>
      </c>
    </row>
    <row r="133" spans="1:55" x14ac:dyDescent="0.25">
      <c r="A133" t="s">
        <v>69</v>
      </c>
      <c r="B133" s="4" t="s">
        <v>44</v>
      </c>
      <c r="C133" t="str">
        <f t="shared" si="101"/>
        <v>EcoTi-03</v>
      </c>
      <c r="D133">
        <v>2024</v>
      </c>
      <c r="E133">
        <v>150</v>
      </c>
      <c r="F133" t="str">
        <f t="shared" si="126"/>
        <v>Motoristes Pièces</v>
      </c>
      <c r="G133" t="str">
        <f t="shared" si="127"/>
        <v>Motoristes Pièces source EcoTi Simple Melt</v>
      </c>
      <c r="H133" t="str">
        <f t="shared" si="103"/>
        <v>Moteurs</v>
      </c>
      <c r="I133">
        <f t="shared" si="128"/>
        <v>5</v>
      </c>
      <c r="J133">
        <f t="shared" si="129"/>
        <v>1210</v>
      </c>
      <c r="K133">
        <f t="shared" si="106"/>
        <v>150</v>
      </c>
      <c r="L133">
        <f t="shared" si="130"/>
        <v>181.5</v>
      </c>
      <c r="M133">
        <f t="shared" si="131"/>
        <v>7.8749999999999982</v>
      </c>
      <c r="N133">
        <f t="shared" si="132"/>
        <v>8.6624999999999996</v>
      </c>
      <c r="O133" t="str">
        <f t="shared" si="133"/>
        <v>Circ 1</v>
      </c>
      <c r="P133">
        <f>VLOOKUP(O133,pxmassif,D133-2010,FALSE)*M133</f>
        <v>7.8749999999999982</v>
      </c>
      <c r="Q133">
        <f>VLOOKUP(O133,pxcopeau,D133-2010,FALSE)*N133</f>
        <v>5.1974999999999998</v>
      </c>
      <c r="R133" t="str">
        <f t="shared" si="134"/>
        <v>AD PAMIERS</v>
      </c>
      <c r="S133">
        <f t="shared" si="135"/>
        <v>7.125</v>
      </c>
      <c r="T133">
        <f t="shared" si="136"/>
        <v>54</v>
      </c>
      <c r="U133" t="str">
        <f t="shared" si="137"/>
        <v>Circ 1</v>
      </c>
      <c r="V133">
        <f>VLOOKUP(U133,pxmassif,$D133-2010,FALSE)*S133</f>
        <v>7.125</v>
      </c>
      <c r="W133">
        <f>VLOOKUP(U133,pxcopeau,$D133-2010,FALSE)*T133</f>
        <v>32.4</v>
      </c>
      <c r="X133" t="str">
        <f t="shared" si="138"/>
        <v>Client</v>
      </c>
      <c r="Y133">
        <f t="shared" si="139"/>
        <v>0</v>
      </c>
      <c r="Z133">
        <f t="shared" si="140"/>
        <v>0</v>
      </c>
      <c r="AA133" t="str">
        <f t="shared" si="141"/>
        <v>Circ 1</v>
      </c>
      <c r="AB133">
        <f>VLOOKUP(AA133,pxmassif,$D133-2010,FALSE)*Y133</f>
        <v>0</v>
      </c>
      <c r="AC133">
        <f>VLOOKUP(AA133,pxcopeau,$D133-2010,FALSE)*Z133</f>
        <v>0</v>
      </c>
      <c r="AD133">
        <f t="shared" si="148"/>
        <v>14.999999999999998</v>
      </c>
      <c r="AE133">
        <f t="shared" si="149"/>
        <v>62.662500000000001</v>
      </c>
      <c r="AF133">
        <f t="shared" si="150"/>
        <v>16.537499999999998</v>
      </c>
      <c r="AG133">
        <f t="shared" si="151"/>
        <v>61.125</v>
      </c>
      <c r="AH133">
        <f t="shared" si="152"/>
        <v>0</v>
      </c>
      <c r="AI133">
        <f t="shared" si="153"/>
        <v>14.999999999999998</v>
      </c>
      <c r="AJ133">
        <f t="shared" si="154"/>
        <v>62.662500000000001</v>
      </c>
      <c r="AK133">
        <f t="shared" si="142"/>
        <v>69.121762500000017</v>
      </c>
      <c r="AL133">
        <f t="shared" si="143"/>
        <v>112.37823749999998</v>
      </c>
      <c r="AM133">
        <f>IFERROR(MIN(AL133,VLOOKUP(CONCATENATE(C133,"-to lingot"),negchutes,D133-2007,FALSE)),0)</f>
        <v>0</v>
      </c>
      <c r="AN133">
        <f t="shared" si="155"/>
        <v>112.37823749999998</v>
      </c>
      <c r="AO133" t="str">
        <f t="shared" si="156"/>
        <v>Circ 1</v>
      </c>
      <c r="AP133">
        <f>IF(AR133=0,0,IFERROR(VLOOKUP(CONCATENATE($C133,"-to massif"),negchutes,$D133-2007,FALSE),0)*AM133/AR133)</f>
        <v>0</v>
      </c>
      <c r="AQ133">
        <f>IF(AR133=0,0,IFERROR(VLOOKUP(CONCATENATE($C133,"-to copeaux"),negchutes,$D133-2007,FALSE),0)*AM133/AR133)</f>
        <v>0</v>
      </c>
      <c r="AR133">
        <f>IFERROR(VLOOKUP(CONCATENATE($C133,"-to lingot"),negchutes,$D133-2007,FALSE),0)</f>
        <v>0</v>
      </c>
      <c r="AS133">
        <f>IF(AR133=0,0,AP133*VLOOKUP(CONCATENATE($C133,"-ac massif"),negchutes,$D133-2007,FALSE))</f>
        <v>0</v>
      </c>
      <c r="AT133">
        <f>IF(AR133=0,0,AQ133*VLOOKUP(CONCATENATE($C133,"-ac copeaux"),negchutes,$D133-2007,FALSE))</f>
        <v>0</v>
      </c>
      <c r="AU133">
        <f t="shared" si="144"/>
        <v>1071.3873187500003</v>
      </c>
      <c r="AV133">
        <f>IFERROR(VLOOKUP(CONCATENATE(C133,"-px lingot"),negchutes,D133-2007,FALSE),0)*AM133</f>
        <v>0</v>
      </c>
      <c r="AW133">
        <f>AN133*VLOOKUP("Marché 1",pxlingot,D133-2010,FALSE)</f>
        <v>2809.4559374999994</v>
      </c>
      <c r="AX133">
        <f t="shared" si="157"/>
        <v>21.382056508264462</v>
      </c>
      <c r="AY133" t="str">
        <f t="shared" si="145"/>
        <v>VAR</v>
      </c>
      <c r="AZ133">
        <f t="shared" si="146"/>
        <v>15.519262499999996</v>
      </c>
      <c r="BA133">
        <f>MAX(VLOOKUP(VLOOKUP(C133,descmarche,28,FALSE),pxlingot,D133-2010,FALSE),AX133)</f>
        <v>21.382056508264462</v>
      </c>
      <c r="BB133">
        <f t="shared" si="158"/>
        <v>3880.8432562499997</v>
      </c>
      <c r="BC133" t="str">
        <f t="shared" si="147"/>
        <v>Circ 1</v>
      </c>
    </row>
    <row r="134" spans="1:55" x14ac:dyDescent="0.25">
      <c r="A134" t="s">
        <v>69</v>
      </c>
      <c r="B134" s="4" t="s">
        <v>45</v>
      </c>
      <c r="C134" t="str">
        <f t="shared" si="101"/>
        <v>EcoTi-04</v>
      </c>
      <c r="D134">
        <v>2016</v>
      </c>
      <c r="E134">
        <v>25</v>
      </c>
      <c r="F134" t="str">
        <f t="shared" si="126"/>
        <v>Motoristes Aubes</v>
      </c>
      <c r="G134" t="str">
        <f t="shared" si="127"/>
        <v>Motoristes Aubes source EcoTi</v>
      </c>
      <c r="H134" t="str">
        <f t="shared" si="103"/>
        <v>Aval UKAD</v>
      </c>
      <c r="I134">
        <f t="shared" si="128"/>
        <v>5</v>
      </c>
      <c r="J134">
        <f t="shared" si="129"/>
        <v>1411</v>
      </c>
      <c r="K134">
        <f t="shared" ref="K134:K162" si="159">VLOOKUP($C134,descmarche,10,FALSE)*$E134</f>
        <v>25</v>
      </c>
      <c r="L134">
        <f t="shared" si="130"/>
        <v>35.274999999999999</v>
      </c>
      <c r="M134">
        <f t="shared" si="131"/>
        <v>1.3125</v>
      </c>
      <c r="N134">
        <f t="shared" si="132"/>
        <v>0</v>
      </c>
      <c r="O134" t="str">
        <f t="shared" si="133"/>
        <v>Circ 1</v>
      </c>
      <c r="P134">
        <f>VLOOKUP(O134,pxmassif,D134-2010,FALSE)*M134</f>
        <v>1.3125</v>
      </c>
      <c r="Q134">
        <f>VLOOKUP(O134,pxcopeau,D134-2010,FALSE)*N134</f>
        <v>0</v>
      </c>
      <c r="R134" t="str">
        <f t="shared" si="134"/>
        <v>BA pour UKAD</v>
      </c>
      <c r="S134">
        <f t="shared" si="135"/>
        <v>1.40625</v>
      </c>
      <c r="T134">
        <f t="shared" si="136"/>
        <v>0</v>
      </c>
      <c r="U134" t="str">
        <f t="shared" si="137"/>
        <v>Circ 1</v>
      </c>
      <c r="V134">
        <f>VLOOKUP(U134,pxmassif,$D134-2010,FALSE)*S134</f>
        <v>1.40625</v>
      </c>
      <c r="W134">
        <f>VLOOKUP(U134,pxcopeau,$D134-2010,FALSE)*T134</f>
        <v>0</v>
      </c>
      <c r="X134" t="str">
        <f t="shared" si="138"/>
        <v>Client</v>
      </c>
      <c r="Y134">
        <f t="shared" si="139"/>
        <v>0</v>
      </c>
      <c r="Z134">
        <f t="shared" si="140"/>
        <v>0</v>
      </c>
      <c r="AA134" t="str">
        <f t="shared" si="141"/>
        <v>Circ 1</v>
      </c>
      <c r="AB134">
        <f>VLOOKUP(AA134,pxmassif,$D134-2010,FALSE)*Y134</f>
        <v>0</v>
      </c>
      <c r="AC134">
        <f>VLOOKUP(AA134,pxcopeau,$D134-2010,FALSE)*Z134</f>
        <v>0</v>
      </c>
      <c r="AD134">
        <f t="shared" si="148"/>
        <v>2.71875</v>
      </c>
      <c r="AE134">
        <f t="shared" si="149"/>
        <v>0</v>
      </c>
      <c r="AF134">
        <f t="shared" si="150"/>
        <v>1.3125</v>
      </c>
      <c r="AG134">
        <f t="shared" si="151"/>
        <v>1.40625</v>
      </c>
      <c r="AH134">
        <f t="shared" si="152"/>
        <v>0</v>
      </c>
      <c r="AI134">
        <f t="shared" si="153"/>
        <v>2.71875</v>
      </c>
      <c r="AJ134">
        <f t="shared" si="154"/>
        <v>0</v>
      </c>
      <c r="AK134">
        <f t="shared" si="142"/>
        <v>2.7948750000000002</v>
      </c>
      <c r="AL134">
        <f t="shared" si="143"/>
        <v>32.480125000000001</v>
      </c>
      <c r="AM134">
        <f>IFERROR(MIN(AL134,VLOOKUP(CONCATENATE(C134,"-to lingot"),negchutes,D134-2007,FALSE)),0)</f>
        <v>0</v>
      </c>
      <c r="AN134">
        <f t="shared" si="155"/>
        <v>32.480125000000001</v>
      </c>
      <c r="AO134" t="str">
        <f t="shared" si="156"/>
        <v>Circ 1</v>
      </c>
      <c r="AP134">
        <f>IF(AR134=0,0,IFERROR(VLOOKUP(CONCATENATE($C134,"-to massif"),negchutes,$D134-2007,FALSE),0)*AM134/AR134)</f>
        <v>0</v>
      </c>
      <c r="AQ134">
        <f>IF(AR134=0,0,IFERROR(VLOOKUP(CONCATENATE($C134,"-to copeaux"),negchutes,$D134-2007,FALSE),0)*AM134/AR134)</f>
        <v>0</v>
      </c>
      <c r="AR134">
        <f>IFERROR(VLOOKUP(CONCATENATE($C134,"-to lingot"),negchutes,$D134-2007,FALSE),0)</f>
        <v>0</v>
      </c>
      <c r="AS134">
        <f>IF(AR134=0,0,AP134*VLOOKUP(CONCATENATE($C134,"-ac massif"),negchutes,$D134-2007,FALSE))</f>
        <v>0</v>
      </c>
      <c r="AT134">
        <f>IF(AR134=0,0,AQ134*VLOOKUP(CONCATENATE($C134,"-ac copeaux"),negchutes,$D134-2007,FALSE))</f>
        <v>0</v>
      </c>
      <c r="AU134">
        <f t="shared" si="144"/>
        <v>43.320562500000001</v>
      </c>
      <c r="AV134">
        <f>IFERROR(VLOOKUP(CONCATENATE(C134,"-px lingot"),negchutes,D134-2007,FALSE),0)*AM134</f>
        <v>0</v>
      </c>
      <c r="AW134">
        <f>AN134*VLOOKUP("Marché 1",pxlingot,D134-2010,FALSE)</f>
        <v>812.00312500000007</v>
      </c>
      <c r="AX134">
        <f t="shared" si="157"/>
        <v>24.247305102764003</v>
      </c>
      <c r="AY134" t="str">
        <f t="shared" si="145"/>
        <v>VAR</v>
      </c>
      <c r="AZ134">
        <f t="shared" si="146"/>
        <v>1.3492500000000001</v>
      </c>
      <c r="BA134">
        <f>MAX(VLOOKUP(VLOOKUP(C134,descmarche,28,FALSE),pxlingot,D134-2010,FALSE),AX134)</f>
        <v>24.247305102764003</v>
      </c>
      <c r="BB134">
        <f t="shared" si="158"/>
        <v>855.32368750000012</v>
      </c>
      <c r="BC134" t="str">
        <f t="shared" si="147"/>
        <v>Circ 1</v>
      </c>
    </row>
    <row r="135" spans="1:55" x14ac:dyDescent="0.25">
      <c r="A135" t="s">
        <v>69</v>
      </c>
      <c r="B135" s="4" t="s">
        <v>45</v>
      </c>
      <c r="C135" t="str">
        <f t="shared" si="101"/>
        <v>EcoTi-04</v>
      </c>
      <c r="D135">
        <v>2017</v>
      </c>
      <c r="E135">
        <v>50</v>
      </c>
      <c r="F135" t="str">
        <f t="shared" si="126"/>
        <v>Motoristes Aubes</v>
      </c>
      <c r="G135" t="str">
        <f t="shared" si="127"/>
        <v>Motoristes Aubes source EcoTi</v>
      </c>
      <c r="H135" t="str">
        <f t="shared" si="103"/>
        <v>Aval UKAD</v>
      </c>
      <c r="I135">
        <f t="shared" si="128"/>
        <v>5</v>
      </c>
      <c r="J135">
        <f t="shared" si="129"/>
        <v>1411</v>
      </c>
      <c r="K135">
        <f t="shared" si="159"/>
        <v>50</v>
      </c>
      <c r="L135">
        <f t="shared" si="130"/>
        <v>70.55</v>
      </c>
      <c r="M135">
        <f t="shared" si="131"/>
        <v>2.625</v>
      </c>
      <c r="N135">
        <f t="shared" si="132"/>
        <v>0</v>
      </c>
      <c r="O135" t="str">
        <f t="shared" si="133"/>
        <v>Circ 1</v>
      </c>
      <c r="P135">
        <f>VLOOKUP(O135,pxmassif,D135-2010,FALSE)*M135</f>
        <v>2.625</v>
      </c>
      <c r="Q135">
        <f>VLOOKUP(O135,pxcopeau,D135-2010,FALSE)*N135</f>
        <v>0</v>
      </c>
      <c r="R135" t="str">
        <f t="shared" si="134"/>
        <v>BA pour UKAD</v>
      </c>
      <c r="S135">
        <f t="shared" si="135"/>
        <v>2.8125</v>
      </c>
      <c r="T135">
        <f t="shared" si="136"/>
        <v>0</v>
      </c>
      <c r="U135" t="str">
        <f t="shared" si="137"/>
        <v>Circ 1</v>
      </c>
      <c r="V135">
        <f>VLOOKUP(U135,pxmassif,$D135-2010,FALSE)*S135</f>
        <v>2.8125</v>
      </c>
      <c r="W135">
        <f>VLOOKUP(U135,pxcopeau,$D135-2010,FALSE)*T135</f>
        <v>0</v>
      </c>
      <c r="X135" t="str">
        <f t="shared" si="138"/>
        <v>Client</v>
      </c>
      <c r="Y135">
        <f t="shared" si="139"/>
        <v>0</v>
      </c>
      <c r="Z135">
        <f t="shared" si="140"/>
        <v>0</v>
      </c>
      <c r="AA135" t="str">
        <f t="shared" si="141"/>
        <v>Circ 1</v>
      </c>
      <c r="AB135">
        <f>VLOOKUP(AA135,pxmassif,$D135-2010,FALSE)*Y135</f>
        <v>0</v>
      </c>
      <c r="AC135">
        <f>VLOOKUP(AA135,pxcopeau,$D135-2010,FALSE)*Z135</f>
        <v>0</v>
      </c>
      <c r="AD135">
        <f t="shared" si="148"/>
        <v>5.4375</v>
      </c>
      <c r="AE135">
        <f t="shared" si="149"/>
        <v>0</v>
      </c>
      <c r="AF135">
        <f t="shared" si="150"/>
        <v>2.625</v>
      </c>
      <c r="AG135">
        <f t="shared" si="151"/>
        <v>2.8125</v>
      </c>
      <c r="AH135">
        <f t="shared" si="152"/>
        <v>0</v>
      </c>
      <c r="AI135">
        <f t="shared" si="153"/>
        <v>5.4375</v>
      </c>
      <c r="AJ135">
        <f t="shared" si="154"/>
        <v>0</v>
      </c>
      <c r="AK135">
        <f t="shared" si="142"/>
        <v>5.5897500000000004</v>
      </c>
      <c r="AL135">
        <f t="shared" si="143"/>
        <v>64.960250000000002</v>
      </c>
      <c r="AM135">
        <f>IFERROR(MIN(AL135,VLOOKUP(CONCATENATE(C135,"-to lingot"),negchutes,D135-2007,FALSE)),0)</f>
        <v>0</v>
      </c>
      <c r="AN135">
        <f t="shared" si="155"/>
        <v>64.960250000000002</v>
      </c>
      <c r="AO135" t="str">
        <f t="shared" si="156"/>
        <v>Circ 1</v>
      </c>
      <c r="AP135">
        <f>IF(AR135=0,0,IFERROR(VLOOKUP(CONCATENATE($C135,"-to massif"),negchutes,$D135-2007,FALSE),0)*AM135/AR135)</f>
        <v>0</v>
      </c>
      <c r="AQ135">
        <f>IF(AR135=0,0,IFERROR(VLOOKUP(CONCATENATE($C135,"-to copeaux"),negchutes,$D135-2007,FALSE),0)*AM135/AR135)</f>
        <v>0</v>
      </c>
      <c r="AR135">
        <f>IFERROR(VLOOKUP(CONCATENATE($C135,"-to lingot"),negchutes,$D135-2007,FALSE),0)</f>
        <v>0</v>
      </c>
      <c r="AS135">
        <f>IF(AR135=0,0,AP135*VLOOKUP(CONCATENATE($C135,"-ac massif"),negchutes,$D135-2007,FALSE))</f>
        <v>0</v>
      </c>
      <c r="AT135">
        <f>IF(AR135=0,0,AQ135*VLOOKUP(CONCATENATE($C135,"-ac copeaux"),negchutes,$D135-2007,FALSE))</f>
        <v>0</v>
      </c>
      <c r="AU135">
        <f t="shared" si="144"/>
        <v>86.641125000000002</v>
      </c>
      <c r="AV135">
        <f>IFERROR(VLOOKUP(CONCATENATE(C135,"-px lingot"),negchutes,D135-2007,FALSE),0)*AM135</f>
        <v>0</v>
      </c>
      <c r="AW135">
        <f>AN135*VLOOKUP("Marché 1",pxlingot,D135-2010,FALSE)</f>
        <v>1624.0062500000001</v>
      </c>
      <c r="AX135">
        <f t="shared" si="157"/>
        <v>24.247305102764003</v>
      </c>
      <c r="AY135" t="str">
        <f t="shared" si="145"/>
        <v>VAR</v>
      </c>
      <c r="AZ135">
        <f t="shared" si="146"/>
        <v>2.6985000000000001</v>
      </c>
      <c r="BA135">
        <f>MAX(VLOOKUP(VLOOKUP(C135,descmarche,28,FALSE),pxlingot,D135-2010,FALSE),AX135)</f>
        <v>24.247305102764003</v>
      </c>
      <c r="BB135">
        <f t="shared" si="158"/>
        <v>1710.6473750000002</v>
      </c>
      <c r="BC135" t="str">
        <f t="shared" si="147"/>
        <v>Circ 1</v>
      </c>
    </row>
    <row r="136" spans="1:55" x14ac:dyDescent="0.25">
      <c r="A136" t="s">
        <v>69</v>
      </c>
      <c r="B136" s="4" t="s">
        <v>45</v>
      </c>
      <c r="C136" t="str">
        <f t="shared" si="101"/>
        <v>EcoTi-04</v>
      </c>
      <c r="D136">
        <v>2018</v>
      </c>
      <c r="E136">
        <v>100</v>
      </c>
      <c r="F136" t="str">
        <f t="shared" si="126"/>
        <v>Motoristes Aubes</v>
      </c>
      <c r="G136" t="str">
        <f t="shared" si="127"/>
        <v>Motoristes Aubes source EcoTi</v>
      </c>
      <c r="H136" t="str">
        <f t="shared" si="103"/>
        <v>Aval UKAD</v>
      </c>
      <c r="I136">
        <f t="shared" si="128"/>
        <v>5</v>
      </c>
      <c r="J136">
        <f t="shared" si="129"/>
        <v>1411</v>
      </c>
      <c r="K136">
        <f t="shared" si="159"/>
        <v>100</v>
      </c>
      <c r="L136">
        <f t="shared" si="130"/>
        <v>141.1</v>
      </c>
      <c r="M136">
        <f t="shared" si="131"/>
        <v>5.25</v>
      </c>
      <c r="N136">
        <f t="shared" si="132"/>
        <v>0</v>
      </c>
      <c r="O136" t="str">
        <f t="shared" si="133"/>
        <v>Circ 1</v>
      </c>
      <c r="P136">
        <f>VLOOKUP(O136,pxmassif,D136-2010,FALSE)*M136</f>
        <v>5.25</v>
      </c>
      <c r="Q136">
        <f>VLOOKUP(O136,pxcopeau,D136-2010,FALSE)*N136</f>
        <v>0</v>
      </c>
      <c r="R136" t="str">
        <f t="shared" si="134"/>
        <v>BA pour UKAD</v>
      </c>
      <c r="S136">
        <f t="shared" si="135"/>
        <v>5.625</v>
      </c>
      <c r="T136">
        <f t="shared" si="136"/>
        <v>0</v>
      </c>
      <c r="U136" t="str">
        <f t="shared" si="137"/>
        <v>Circ 1</v>
      </c>
      <c r="V136">
        <f>VLOOKUP(U136,pxmassif,$D136-2010,FALSE)*S136</f>
        <v>5.625</v>
      </c>
      <c r="W136">
        <f>VLOOKUP(U136,pxcopeau,$D136-2010,FALSE)*T136</f>
        <v>0</v>
      </c>
      <c r="X136" t="str">
        <f t="shared" si="138"/>
        <v>Client</v>
      </c>
      <c r="Y136">
        <f t="shared" si="139"/>
        <v>0</v>
      </c>
      <c r="Z136">
        <f t="shared" si="140"/>
        <v>0</v>
      </c>
      <c r="AA136" t="str">
        <f t="shared" si="141"/>
        <v>Circ 1</v>
      </c>
      <c r="AB136">
        <f>VLOOKUP(AA136,pxmassif,$D136-2010,FALSE)*Y136</f>
        <v>0</v>
      </c>
      <c r="AC136">
        <f>VLOOKUP(AA136,pxcopeau,$D136-2010,FALSE)*Z136</f>
        <v>0</v>
      </c>
      <c r="AD136">
        <f t="shared" si="148"/>
        <v>10.875</v>
      </c>
      <c r="AE136">
        <f t="shared" si="149"/>
        <v>0</v>
      </c>
      <c r="AF136">
        <f t="shared" si="150"/>
        <v>5.25</v>
      </c>
      <c r="AG136">
        <f t="shared" si="151"/>
        <v>5.625</v>
      </c>
      <c r="AH136">
        <f t="shared" si="152"/>
        <v>0</v>
      </c>
      <c r="AI136">
        <f t="shared" si="153"/>
        <v>10.875</v>
      </c>
      <c r="AJ136">
        <f t="shared" si="154"/>
        <v>0</v>
      </c>
      <c r="AK136">
        <f t="shared" si="142"/>
        <v>11.179500000000001</v>
      </c>
      <c r="AL136">
        <f t="shared" si="143"/>
        <v>129.9205</v>
      </c>
      <c r="AM136">
        <f>IFERROR(MIN(AL136,VLOOKUP(CONCATENATE(C136,"-to lingot"),negchutes,D136-2007,FALSE)),0)</f>
        <v>0</v>
      </c>
      <c r="AN136">
        <f t="shared" si="155"/>
        <v>129.9205</v>
      </c>
      <c r="AO136" t="str">
        <f t="shared" si="156"/>
        <v>Circ 1</v>
      </c>
      <c r="AP136">
        <f>IF(AR136=0,0,IFERROR(VLOOKUP(CONCATENATE($C136,"-to massif"),negchutes,$D136-2007,FALSE),0)*AM136/AR136)</f>
        <v>0</v>
      </c>
      <c r="AQ136">
        <f>IF(AR136=0,0,IFERROR(VLOOKUP(CONCATENATE($C136,"-to copeaux"),negchutes,$D136-2007,FALSE),0)*AM136/AR136)</f>
        <v>0</v>
      </c>
      <c r="AR136">
        <f>IFERROR(VLOOKUP(CONCATENATE($C136,"-to lingot"),negchutes,$D136-2007,FALSE),0)</f>
        <v>0</v>
      </c>
      <c r="AS136">
        <f>IF(AR136=0,0,AP136*VLOOKUP(CONCATENATE($C136,"-ac massif"),negchutes,$D136-2007,FALSE))</f>
        <v>0</v>
      </c>
      <c r="AT136">
        <f>IF(AR136=0,0,AQ136*VLOOKUP(CONCATENATE($C136,"-ac copeaux"),negchutes,$D136-2007,FALSE))</f>
        <v>0</v>
      </c>
      <c r="AU136">
        <f t="shared" si="144"/>
        <v>173.28225</v>
      </c>
      <c r="AV136">
        <f>IFERROR(VLOOKUP(CONCATENATE(C136,"-px lingot"),negchutes,D136-2007,FALSE),0)*AM136</f>
        <v>0</v>
      </c>
      <c r="AW136">
        <f>AN136*VLOOKUP("Marché 1",pxlingot,D136-2010,FALSE)</f>
        <v>3248.0125000000003</v>
      </c>
      <c r="AX136">
        <f t="shared" si="157"/>
        <v>24.247305102764003</v>
      </c>
      <c r="AY136" t="str">
        <f t="shared" si="145"/>
        <v>VAR</v>
      </c>
      <c r="AZ136">
        <f t="shared" si="146"/>
        <v>5.3970000000000002</v>
      </c>
      <c r="BA136">
        <f>MAX(VLOOKUP(VLOOKUP(C136,descmarche,28,FALSE),pxlingot,D136-2010,FALSE),AX136)</f>
        <v>24.247305102764003</v>
      </c>
      <c r="BB136">
        <f t="shared" si="158"/>
        <v>3421.2947500000005</v>
      </c>
      <c r="BC136" t="str">
        <f t="shared" si="147"/>
        <v>Circ 1</v>
      </c>
    </row>
    <row r="137" spans="1:55" x14ac:dyDescent="0.25">
      <c r="A137" t="s">
        <v>69</v>
      </c>
      <c r="B137" s="4" t="s">
        <v>45</v>
      </c>
      <c r="C137" t="str">
        <f t="shared" si="101"/>
        <v>EcoTi-04</v>
      </c>
      <c r="D137">
        <v>2019</v>
      </c>
      <c r="E137">
        <v>190</v>
      </c>
      <c r="F137" t="str">
        <f t="shared" si="126"/>
        <v>Motoristes Aubes</v>
      </c>
      <c r="G137" t="str">
        <f t="shared" si="127"/>
        <v>Motoristes Aubes source EcoTi</v>
      </c>
      <c r="H137" t="str">
        <f t="shared" si="103"/>
        <v>Aval UKAD</v>
      </c>
      <c r="I137">
        <f t="shared" si="128"/>
        <v>5</v>
      </c>
      <c r="J137">
        <f t="shared" si="129"/>
        <v>1411</v>
      </c>
      <c r="K137">
        <f t="shared" si="159"/>
        <v>190</v>
      </c>
      <c r="L137">
        <f t="shared" si="130"/>
        <v>268.09000000000003</v>
      </c>
      <c r="M137">
        <f t="shared" si="131"/>
        <v>9.9749999999999996</v>
      </c>
      <c r="N137">
        <f t="shared" si="132"/>
        <v>0</v>
      </c>
      <c r="O137" t="str">
        <f t="shared" si="133"/>
        <v>Circ 1</v>
      </c>
      <c r="P137">
        <f>VLOOKUP(O137,pxmassif,D137-2010,FALSE)*M137</f>
        <v>9.9749999999999996</v>
      </c>
      <c r="Q137">
        <f>VLOOKUP(O137,pxcopeau,D137-2010,FALSE)*N137</f>
        <v>0</v>
      </c>
      <c r="R137" t="str">
        <f t="shared" si="134"/>
        <v>BA pour UKAD</v>
      </c>
      <c r="S137">
        <f t="shared" si="135"/>
        <v>10.6875</v>
      </c>
      <c r="T137">
        <f t="shared" si="136"/>
        <v>0</v>
      </c>
      <c r="U137" t="str">
        <f t="shared" si="137"/>
        <v>Circ 1</v>
      </c>
      <c r="V137">
        <f>VLOOKUP(U137,pxmassif,$D137-2010,FALSE)*S137</f>
        <v>10.6875</v>
      </c>
      <c r="W137">
        <f>VLOOKUP(U137,pxcopeau,$D137-2010,FALSE)*T137</f>
        <v>0</v>
      </c>
      <c r="X137" t="str">
        <f t="shared" si="138"/>
        <v>Client</v>
      </c>
      <c r="Y137">
        <f t="shared" si="139"/>
        <v>0</v>
      </c>
      <c r="Z137">
        <f t="shared" si="140"/>
        <v>0</v>
      </c>
      <c r="AA137" t="str">
        <f t="shared" si="141"/>
        <v>Circ 1</v>
      </c>
      <c r="AB137">
        <f>VLOOKUP(AA137,pxmassif,$D137-2010,FALSE)*Y137</f>
        <v>0</v>
      </c>
      <c r="AC137">
        <f>VLOOKUP(AA137,pxcopeau,$D137-2010,FALSE)*Z137</f>
        <v>0</v>
      </c>
      <c r="AD137">
        <f t="shared" si="148"/>
        <v>20.662500000000001</v>
      </c>
      <c r="AE137">
        <f t="shared" si="149"/>
        <v>0</v>
      </c>
      <c r="AF137">
        <f t="shared" si="150"/>
        <v>9.9749999999999996</v>
      </c>
      <c r="AG137">
        <f t="shared" si="151"/>
        <v>10.6875</v>
      </c>
      <c r="AH137">
        <f t="shared" si="152"/>
        <v>0</v>
      </c>
      <c r="AI137">
        <f t="shared" si="153"/>
        <v>20.662500000000001</v>
      </c>
      <c r="AJ137">
        <f t="shared" si="154"/>
        <v>0</v>
      </c>
      <c r="AK137">
        <f t="shared" si="142"/>
        <v>21.241050000000001</v>
      </c>
      <c r="AL137">
        <f t="shared" si="143"/>
        <v>246.84895</v>
      </c>
      <c r="AM137">
        <f>IFERROR(MIN(AL137,VLOOKUP(CONCATENATE(C137,"-to lingot"),negchutes,D137-2007,FALSE)),0)</f>
        <v>0</v>
      </c>
      <c r="AN137">
        <f t="shared" si="155"/>
        <v>246.84895</v>
      </c>
      <c r="AO137" t="str">
        <f t="shared" si="156"/>
        <v>Circ 1</v>
      </c>
      <c r="AP137">
        <f>IF(AR137=0,0,IFERROR(VLOOKUP(CONCATENATE($C137,"-to massif"),negchutes,$D137-2007,FALSE),0)*AM137/AR137)</f>
        <v>0</v>
      </c>
      <c r="AQ137">
        <f>IF(AR137=0,0,IFERROR(VLOOKUP(CONCATENATE($C137,"-to copeaux"),negchutes,$D137-2007,FALSE),0)*AM137/AR137)</f>
        <v>0</v>
      </c>
      <c r="AR137">
        <f>IFERROR(VLOOKUP(CONCATENATE($C137,"-to lingot"),negchutes,$D137-2007,FALSE),0)</f>
        <v>0</v>
      </c>
      <c r="AS137">
        <f>IF(AR137=0,0,AP137*VLOOKUP(CONCATENATE($C137,"-ac massif"),negchutes,$D137-2007,FALSE))</f>
        <v>0</v>
      </c>
      <c r="AT137">
        <f>IF(AR137=0,0,AQ137*VLOOKUP(CONCATENATE($C137,"-ac copeaux"),negchutes,$D137-2007,FALSE))</f>
        <v>0</v>
      </c>
      <c r="AU137">
        <f t="shared" si="144"/>
        <v>329.23627500000003</v>
      </c>
      <c r="AV137">
        <f>IFERROR(VLOOKUP(CONCATENATE(C137,"-px lingot"),negchutes,D137-2007,FALSE),0)*AM137</f>
        <v>0</v>
      </c>
      <c r="AW137">
        <f>AN137*VLOOKUP("Marché 1",pxlingot,D137-2010,FALSE)</f>
        <v>6171.2237500000001</v>
      </c>
      <c r="AX137">
        <f t="shared" si="157"/>
        <v>24.247305102763995</v>
      </c>
      <c r="AY137" t="str">
        <f t="shared" si="145"/>
        <v>VAR</v>
      </c>
      <c r="AZ137">
        <f t="shared" si="146"/>
        <v>10.254300000000001</v>
      </c>
      <c r="BA137">
        <f>MAX(VLOOKUP(VLOOKUP(C137,descmarche,28,FALSE),pxlingot,D137-2010,FALSE),AX137)</f>
        <v>24.247305102763995</v>
      </c>
      <c r="BB137">
        <f t="shared" si="158"/>
        <v>6500.4600250000003</v>
      </c>
      <c r="BC137" t="str">
        <f t="shared" si="147"/>
        <v>Circ 1</v>
      </c>
    </row>
    <row r="138" spans="1:55" x14ac:dyDescent="0.25">
      <c r="A138" t="s">
        <v>69</v>
      </c>
      <c r="B138" s="4" t="s">
        <v>45</v>
      </c>
      <c r="C138" t="str">
        <f t="shared" si="101"/>
        <v>EcoTi-04</v>
      </c>
      <c r="D138">
        <v>2020</v>
      </c>
      <c r="E138">
        <v>200</v>
      </c>
      <c r="F138" t="str">
        <f t="shared" si="126"/>
        <v>Motoristes Aubes</v>
      </c>
      <c r="G138" t="str">
        <f t="shared" si="127"/>
        <v>Motoristes Aubes source EcoTi</v>
      </c>
      <c r="H138" t="str">
        <f t="shared" si="103"/>
        <v>Aval UKAD</v>
      </c>
      <c r="I138">
        <f t="shared" si="128"/>
        <v>5</v>
      </c>
      <c r="J138">
        <f t="shared" si="129"/>
        <v>1411</v>
      </c>
      <c r="K138">
        <f t="shared" si="159"/>
        <v>200</v>
      </c>
      <c r="L138">
        <f t="shared" si="130"/>
        <v>282.2</v>
      </c>
      <c r="M138">
        <f t="shared" si="131"/>
        <v>10.5</v>
      </c>
      <c r="N138">
        <f t="shared" si="132"/>
        <v>0</v>
      </c>
      <c r="O138" t="str">
        <f t="shared" si="133"/>
        <v>Circ 1</v>
      </c>
      <c r="P138">
        <f>VLOOKUP(O138,pxmassif,D138-2010,FALSE)*M138</f>
        <v>10.5</v>
      </c>
      <c r="Q138">
        <f>VLOOKUP(O138,pxcopeau,D138-2010,FALSE)*N138</f>
        <v>0</v>
      </c>
      <c r="R138" t="str">
        <f t="shared" si="134"/>
        <v>BA pour UKAD</v>
      </c>
      <c r="S138">
        <f t="shared" si="135"/>
        <v>11.25</v>
      </c>
      <c r="T138">
        <f t="shared" si="136"/>
        <v>0</v>
      </c>
      <c r="U138" t="str">
        <f t="shared" si="137"/>
        <v>Circ 1</v>
      </c>
      <c r="V138">
        <f>VLOOKUP(U138,pxmassif,$D138-2010,FALSE)*S138</f>
        <v>11.25</v>
      </c>
      <c r="W138">
        <f>VLOOKUP(U138,pxcopeau,$D138-2010,FALSE)*T138</f>
        <v>0</v>
      </c>
      <c r="X138" t="str">
        <f t="shared" si="138"/>
        <v>Client</v>
      </c>
      <c r="Y138">
        <f t="shared" si="139"/>
        <v>0</v>
      </c>
      <c r="Z138">
        <f t="shared" si="140"/>
        <v>0</v>
      </c>
      <c r="AA138" t="str">
        <f t="shared" si="141"/>
        <v>Circ 1</v>
      </c>
      <c r="AB138">
        <f>VLOOKUP(AA138,pxmassif,$D138-2010,FALSE)*Y138</f>
        <v>0</v>
      </c>
      <c r="AC138">
        <f>VLOOKUP(AA138,pxcopeau,$D138-2010,FALSE)*Z138</f>
        <v>0</v>
      </c>
      <c r="AD138">
        <f t="shared" si="148"/>
        <v>21.75</v>
      </c>
      <c r="AE138">
        <f t="shared" si="149"/>
        <v>0</v>
      </c>
      <c r="AF138">
        <f t="shared" si="150"/>
        <v>10.5</v>
      </c>
      <c r="AG138">
        <f t="shared" si="151"/>
        <v>11.25</v>
      </c>
      <c r="AH138">
        <f t="shared" si="152"/>
        <v>0</v>
      </c>
      <c r="AI138">
        <f t="shared" si="153"/>
        <v>21.75</v>
      </c>
      <c r="AJ138">
        <f t="shared" si="154"/>
        <v>0</v>
      </c>
      <c r="AK138">
        <f t="shared" si="142"/>
        <v>22.359000000000002</v>
      </c>
      <c r="AL138">
        <f t="shared" si="143"/>
        <v>259.84100000000001</v>
      </c>
      <c r="AM138">
        <f>IFERROR(MIN(AL138,VLOOKUP(CONCATENATE(C138,"-to lingot"),negchutes,D138-2007,FALSE)),0)</f>
        <v>0</v>
      </c>
      <c r="AN138">
        <f t="shared" si="155"/>
        <v>259.84100000000001</v>
      </c>
      <c r="AO138" t="str">
        <f t="shared" si="156"/>
        <v>Circ 1</v>
      </c>
      <c r="AP138">
        <f>IF(AR138=0,0,IFERROR(VLOOKUP(CONCATENATE($C138,"-to massif"),negchutes,$D138-2007,FALSE),0)*AM138/AR138)</f>
        <v>0</v>
      </c>
      <c r="AQ138">
        <f>IF(AR138=0,0,IFERROR(VLOOKUP(CONCATENATE($C138,"-to copeaux"),negchutes,$D138-2007,FALSE),0)*AM138/AR138)</f>
        <v>0</v>
      </c>
      <c r="AR138">
        <f>IFERROR(VLOOKUP(CONCATENATE($C138,"-to lingot"),negchutes,$D138-2007,FALSE),0)</f>
        <v>0</v>
      </c>
      <c r="AS138">
        <f>IF(AR138=0,0,AP138*VLOOKUP(CONCATENATE($C138,"-ac massif"),negchutes,$D138-2007,FALSE))</f>
        <v>0</v>
      </c>
      <c r="AT138">
        <f>IF(AR138=0,0,AQ138*VLOOKUP(CONCATENATE($C138,"-ac copeaux"),negchutes,$D138-2007,FALSE))</f>
        <v>0</v>
      </c>
      <c r="AU138">
        <f t="shared" si="144"/>
        <v>346.56450000000001</v>
      </c>
      <c r="AV138">
        <f>IFERROR(VLOOKUP(CONCATENATE(C138,"-px lingot"),negchutes,D138-2007,FALSE),0)*AM138</f>
        <v>0</v>
      </c>
      <c r="AW138">
        <f>AN138*VLOOKUP("Marché 1",pxlingot,D138-2010,FALSE)</f>
        <v>6496.0250000000005</v>
      </c>
      <c r="AX138">
        <f t="shared" si="157"/>
        <v>24.247305102764003</v>
      </c>
      <c r="AY138" t="str">
        <f t="shared" si="145"/>
        <v>VAR</v>
      </c>
      <c r="AZ138">
        <f t="shared" si="146"/>
        <v>10.794</v>
      </c>
      <c r="BA138">
        <f>MAX(VLOOKUP(VLOOKUP(C138,descmarche,28,FALSE),pxlingot,D138-2010,FALSE),AX138)</f>
        <v>24.247305102764003</v>
      </c>
      <c r="BB138">
        <f t="shared" si="158"/>
        <v>6842.589500000001</v>
      </c>
      <c r="BC138" t="str">
        <f t="shared" si="147"/>
        <v>Circ 1</v>
      </c>
    </row>
    <row r="139" spans="1:55" x14ac:dyDescent="0.25">
      <c r="A139" t="s">
        <v>69</v>
      </c>
      <c r="B139" s="4" t="s">
        <v>45</v>
      </c>
      <c r="C139" t="str">
        <f t="shared" si="101"/>
        <v>EcoTi-04</v>
      </c>
      <c r="D139">
        <v>2021</v>
      </c>
      <c r="E139">
        <v>200</v>
      </c>
      <c r="F139" t="str">
        <f t="shared" si="126"/>
        <v>Motoristes Aubes</v>
      </c>
      <c r="G139" t="str">
        <f t="shared" si="127"/>
        <v>Motoristes Aubes source EcoTi</v>
      </c>
      <c r="H139" t="str">
        <f t="shared" si="103"/>
        <v>Aval UKAD</v>
      </c>
      <c r="I139">
        <f t="shared" si="128"/>
        <v>5</v>
      </c>
      <c r="J139">
        <f t="shared" si="129"/>
        <v>1411</v>
      </c>
      <c r="K139">
        <f t="shared" si="159"/>
        <v>200</v>
      </c>
      <c r="L139">
        <f t="shared" si="130"/>
        <v>282.2</v>
      </c>
      <c r="M139">
        <f t="shared" si="131"/>
        <v>10.5</v>
      </c>
      <c r="N139">
        <f t="shared" si="132"/>
        <v>0</v>
      </c>
      <c r="O139" t="str">
        <f t="shared" si="133"/>
        <v>Circ 1</v>
      </c>
      <c r="P139">
        <f>VLOOKUP(O139,pxmassif,D139-2010,FALSE)*M139</f>
        <v>10.5</v>
      </c>
      <c r="Q139">
        <f>VLOOKUP(O139,pxcopeau,D139-2010,FALSE)*N139</f>
        <v>0</v>
      </c>
      <c r="R139" t="str">
        <f t="shared" si="134"/>
        <v>BA pour UKAD</v>
      </c>
      <c r="S139">
        <f t="shared" si="135"/>
        <v>11.25</v>
      </c>
      <c r="T139">
        <f t="shared" si="136"/>
        <v>0</v>
      </c>
      <c r="U139" t="str">
        <f t="shared" si="137"/>
        <v>Circ 1</v>
      </c>
      <c r="V139">
        <f>VLOOKUP(U139,pxmassif,$D139-2010,FALSE)*S139</f>
        <v>11.25</v>
      </c>
      <c r="W139">
        <f>VLOOKUP(U139,pxcopeau,$D139-2010,FALSE)*T139</f>
        <v>0</v>
      </c>
      <c r="X139" t="str">
        <f t="shared" si="138"/>
        <v>Client</v>
      </c>
      <c r="Y139">
        <f t="shared" si="139"/>
        <v>0</v>
      </c>
      <c r="Z139">
        <f t="shared" si="140"/>
        <v>0</v>
      </c>
      <c r="AA139" t="str">
        <f t="shared" si="141"/>
        <v>Circ 1</v>
      </c>
      <c r="AB139">
        <f>VLOOKUP(AA139,pxmassif,$D139-2010,FALSE)*Y139</f>
        <v>0</v>
      </c>
      <c r="AC139">
        <f>VLOOKUP(AA139,pxcopeau,$D139-2010,FALSE)*Z139</f>
        <v>0</v>
      </c>
      <c r="AD139">
        <f t="shared" si="148"/>
        <v>21.75</v>
      </c>
      <c r="AE139">
        <f t="shared" si="149"/>
        <v>0</v>
      </c>
      <c r="AF139">
        <f t="shared" si="150"/>
        <v>10.5</v>
      </c>
      <c r="AG139">
        <f t="shared" si="151"/>
        <v>11.25</v>
      </c>
      <c r="AH139">
        <f t="shared" si="152"/>
        <v>0</v>
      </c>
      <c r="AI139">
        <f t="shared" si="153"/>
        <v>21.75</v>
      </c>
      <c r="AJ139">
        <f t="shared" si="154"/>
        <v>0</v>
      </c>
      <c r="AK139">
        <f t="shared" si="142"/>
        <v>22.359000000000002</v>
      </c>
      <c r="AL139">
        <f t="shared" si="143"/>
        <v>259.84100000000001</v>
      </c>
      <c r="AM139">
        <f>IFERROR(MIN(AL139,VLOOKUP(CONCATENATE(C139,"-to lingot"),negchutes,D139-2007,FALSE)),0)</f>
        <v>0</v>
      </c>
      <c r="AN139">
        <f t="shared" si="155"/>
        <v>259.84100000000001</v>
      </c>
      <c r="AO139" t="str">
        <f t="shared" si="156"/>
        <v>Circ 1</v>
      </c>
      <c r="AP139">
        <f>IF(AR139=0,0,IFERROR(VLOOKUP(CONCATENATE($C139,"-to massif"),negchutes,$D139-2007,FALSE),0)*AM139/AR139)</f>
        <v>0</v>
      </c>
      <c r="AQ139">
        <f>IF(AR139=0,0,IFERROR(VLOOKUP(CONCATENATE($C139,"-to copeaux"),negchutes,$D139-2007,FALSE),0)*AM139/AR139)</f>
        <v>0</v>
      </c>
      <c r="AR139">
        <f>IFERROR(VLOOKUP(CONCATENATE($C139,"-to lingot"),negchutes,$D139-2007,FALSE),0)</f>
        <v>0</v>
      </c>
      <c r="AS139">
        <f>IF(AR139=0,0,AP139*VLOOKUP(CONCATENATE($C139,"-ac massif"),negchutes,$D139-2007,FALSE))</f>
        <v>0</v>
      </c>
      <c r="AT139">
        <f>IF(AR139=0,0,AQ139*VLOOKUP(CONCATENATE($C139,"-ac copeaux"),negchutes,$D139-2007,FALSE))</f>
        <v>0</v>
      </c>
      <c r="AU139">
        <f t="shared" si="144"/>
        <v>346.56450000000001</v>
      </c>
      <c r="AV139">
        <f>IFERROR(VLOOKUP(CONCATENATE(C139,"-px lingot"),negchutes,D139-2007,FALSE),0)*AM139</f>
        <v>0</v>
      </c>
      <c r="AW139">
        <f>AN139*VLOOKUP("Marché 1",pxlingot,D139-2010,FALSE)</f>
        <v>6496.0250000000005</v>
      </c>
      <c r="AX139">
        <f t="shared" si="157"/>
        <v>24.247305102764003</v>
      </c>
      <c r="AY139" t="str">
        <f t="shared" si="145"/>
        <v>VAR</v>
      </c>
      <c r="AZ139">
        <f t="shared" si="146"/>
        <v>10.794</v>
      </c>
      <c r="BA139">
        <f>MAX(VLOOKUP(VLOOKUP(C139,descmarche,28,FALSE),pxlingot,D139-2010,FALSE),AX139)</f>
        <v>24.247305102764003</v>
      </c>
      <c r="BB139">
        <f t="shared" si="158"/>
        <v>6842.589500000001</v>
      </c>
      <c r="BC139" t="str">
        <f t="shared" si="147"/>
        <v>Circ 1</v>
      </c>
    </row>
    <row r="140" spans="1:55" x14ac:dyDescent="0.25">
      <c r="A140" t="s">
        <v>69</v>
      </c>
      <c r="B140" s="4" t="s">
        <v>45</v>
      </c>
      <c r="C140" t="str">
        <f t="shared" si="101"/>
        <v>EcoTi-04</v>
      </c>
      <c r="D140">
        <v>2022</v>
      </c>
      <c r="E140">
        <v>200</v>
      </c>
      <c r="F140" t="str">
        <f t="shared" si="126"/>
        <v>Motoristes Aubes</v>
      </c>
      <c r="G140" t="str">
        <f t="shared" si="127"/>
        <v>Motoristes Aubes source EcoTi</v>
      </c>
      <c r="H140" t="str">
        <f t="shared" si="103"/>
        <v>Aval UKAD</v>
      </c>
      <c r="I140">
        <f t="shared" si="128"/>
        <v>5</v>
      </c>
      <c r="J140">
        <f t="shared" si="129"/>
        <v>1411</v>
      </c>
      <c r="K140">
        <f t="shared" si="159"/>
        <v>200</v>
      </c>
      <c r="L140">
        <f t="shared" si="130"/>
        <v>282.2</v>
      </c>
      <c r="M140">
        <f t="shared" si="131"/>
        <v>10.5</v>
      </c>
      <c r="N140">
        <f t="shared" si="132"/>
        <v>0</v>
      </c>
      <c r="O140" t="str">
        <f t="shared" si="133"/>
        <v>Circ 1</v>
      </c>
      <c r="P140">
        <f>VLOOKUP(O140,pxmassif,D140-2010,FALSE)*M140</f>
        <v>10.5</v>
      </c>
      <c r="Q140">
        <f>VLOOKUP(O140,pxcopeau,D140-2010,FALSE)*N140</f>
        <v>0</v>
      </c>
      <c r="R140" t="str">
        <f t="shared" si="134"/>
        <v>BA pour UKAD</v>
      </c>
      <c r="S140">
        <f t="shared" si="135"/>
        <v>11.25</v>
      </c>
      <c r="T140">
        <f t="shared" si="136"/>
        <v>0</v>
      </c>
      <c r="U140" t="str">
        <f t="shared" si="137"/>
        <v>Circ 1</v>
      </c>
      <c r="V140">
        <f>VLOOKUP(U140,pxmassif,$D140-2010,FALSE)*S140</f>
        <v>11.25</v>
      </c>
      <c r="W140">
        <f>VLOOKUP(U140,pxcopeau,$D140-2010,FALSE)*T140</f>
        <v>0</v>
      </c>
      <c r="X140" t="str">
        <f t="shared" si="138"/>
        <v>Client</v>
      </c>
      <c r="Y140">
        <f t="shared" si="139"/>
        <v>0</v>
      </c>
      <c r="Z140">
        <f t="shared" si="140"/>
        <v>0</v>
      </c>
      <c r="AA140" t="str">
        <f t="shared" si="141"/>
        <v>Circ 1</v>
      </c>
      <c r="AB140">
        <f>VLOOKUP(AA140,pxmassif,$D140-2010,FALSE)*Y140</f>
        <v>0</v>
      </c>
      <c r="AC140">
        <f>VLOOKUP(AA140,pxcopeau,$D140-2010,FALSE)*Z140</f>
        <v>0</v>
      </c>
      <c r="AD140">
        <f t="shared" si="148"/>
        <v>21.75</v>
      </c>
      <c r="AE140">
        <f t="shared" si="149"/>
        <v>0</v>
      </c>
      <c r="AF140">
        <f t="shared" si="150"/>
        <v>10.5</v>
      </c>
      <c r="AG140">
        <f t="shared" si="151"/>
        <v>11.25</v>
      </c>
      <c r="AH140">
        <f t="shared" si="152"/>
        <v>0</v>
      </c>
      <c r="AI140">
        <f t="shared" si="153"/>
        <v>21.75</v>
      </c>
      <c r="AJ140">
        <f t="shared" si="154"/>
        <v>0</v>
      </c>
      <c r="AK140">
        <f t="shared" si="142"/>
        <v>22.359000000000002</v>
      </c>
      <c r="AL140">
        <f t="shared" si="143"/>
        <v>259.84100000000001</v>
      </c>
      <c r="AM140">
        <f>IFERROR(MIN(AL140,VLOOKUP(CONCATENATE(C140,"-to lingot"),negchutes,D140-2007,FALSE)),0)</f>
        <v>0</v>
      </c>
      <c r="AN140">
        <f t="shared" si="155"/>
        <v>259.84100000000001</v>
      </c>
      <c r="AO140" t="str">
        <f t="shared" si="156"/>
        <v>Circ 1</v>
      </c>
      <c r="AP140">
        <f>IF(AR140=0,0,IFERROR(VLOOKUP(CONCATENATE($C140,"-to massif"),negchutes,$D140-2007,FALSE),0)*AM140/AR140)</f>
        <v>0</v>
      </c>
      <c r="AQ140">
        <f>IF(AR140=0,0,IFERROR(VLOOKUP(CONCATENATE($C140,"-to copeaux"),negchutes,$D140-2007,FALSE),0)*AM140/AR140)</f>
        <v>0</v>
      </c>
      <c r="AR140">
        <f>IFERROR(VLOOKUP(CONCATENATE($C140,"-to lingot"),negchutes,$D140-2007,FALSE),0)</f>
        <v>0</v>
      </c>
      <c r="AS140">
        <f>IF(AR140=0,0,AP140*VLOOKUP(CONCATENATE($C140,"-ac massif"),negchutes,$D140-2007,FALSE))</f>
        <v>0</v>
      </c>
      <c r="AT140">
        <f>IF(AR140=0,0,AQ140*VLOOKUP(CONCATENATE($C140,"-ac copeaux"),negchutes,$D140-2007,FALSE))</f>
        <v>0</v>
      </c>
      <c r="AU140">
        <f t="shared" si="144"/>
        <v>346.56450000000001</v>
      </c>
      <c r="AV140">
        <f>IFERROR(VLOOKUP(CONCATENATE(C140,"-px lingot"),negchutes,D140-2007,FALSE),0)*AM140</f>
        <v>0</v>
      </c>
      <c r="AW140">
        <f>AN140*VLOOKUP("Marché 1",pxlingot,D140-2010,FALSE)</f>
        <v>6496.0250000000005</v>
      </c>
      <c r="AX140">
        <f t="shared" si="157"/>
        <v>24.247305102764003</v>
      </c>
      <c r="AY140" t="str">
        <f t="shared" si="145"/>
        <v>VAR</v>
      </c>
      <c r="AZ140">
        <f t="shared" si="146"/>
        <v>10.794</v>
      </c>
      <c r="BA140">
        <f>MAX(VLOOKUP(VLOOKUP(C140,descmarche,28,FALSE),pxlingot,D140-2010,FALSE),AX140)</f>
        <v>24.247305102764003</v>
      </c>
      <c r="BB140">
        <f t="shared" si="158"/>
        <v>6842.589500000001</v>
      </c>
      <c r="BC140" t="str">
        <f t="shared" si="147"/>
        <v>Circ 1</v>
      </c>
    </row>
    <row r="141" spans="1:55" x14ac:dyDescent="0.25">
      <c r="A141" t="s">
        <v>69</v>
      </c>
      <c r="B141" s="4" t="s">
        <v>45</v>
      </c>
      <c r="C141" t="str">
        <f t="shared" si="101"/>
        <v>EcoTi-04</v>
      </c>
      <c r="D141">
        <v>2023</v>
      </c>
      <c r="E141">
        <v>150</v>
      </c>
      <c r="F141" t="str">
        <f t="shared" si="126"/>
        <v>Motoristes Aubes</v>
      </c>
      <c r="G141" t="str">
        <f t="shared" si="127"/>
        <v>Motoristes Aubes source EcoTi</v>
      </c>
      <c r="H141" t="str">
        <f t="shared" si="103"/>
        <v>Aval UKAD</v>
      </c>
      <c r="I141">
        <f t="shared" si="128"/>
        <v>5</v>
      </c>
      <c r="J141">
        <f t="shared" si="129"/>
        <v>1411</v>
      </c>
      <c r="K141">
        <f t="shared" si="159"/>
        <v>150</v>
      </c>
      <c r="L141">
        <f t="shared" si="130"/>
        <v>211.65</v>
      </c>
      <c r="M141">
        <f t="shared" si="131"/>
        <v>7.875</v>
      </c>
      <c r="N141">
        <f t="shared" si="132"/>
        <v>0</v>
      </c>
      <c r="O141" t="str">
        <f t="shared" si="133"/>
        <v>Circ 1</v>
      </c>
      <c r="P141">
        <f>VLOOKUP(O141,pxmassif,D141-2010,FALSE)*M141</f>
        <v>7.875</v>
      </c>
      <c r="Q141">
        <f>VLOOKUP(O141,pxcopeau,D141-2010,FALSE)*N141</f>
        <v>0</v>
      </c>
      <c r="R141" t="str">
        <f t="shared" si="134"/>
        <v>BA pour UKAD</v>
      </c>
      <c r="S141">
        <f t="shared" si="135"/>
        <v>8.4375</v>
      </c>
      <c r="T141">
        <f t="shared" si="136"/>
        <v>0</v>
      </c>
      <c r="U141" t="str">
        <f t="shared" si="137"/>
        <v>Circ 1</v>
      </c>
      <c r="V141">
        <f>VLOOKUP(U141,pxmassif,$D141-2010,FALSE)*S141</f>
        <v>8.4375</v>
      </c>
      <c r="W141">
        <f>VLOOKUP(U141,pxcopeau,$D141-2010,FALSE)*T141</f>
        <v>0</v>
      </c>
      <c r="X141" t="str">
        <f t="shared" si="138"/>
        <v>Client</v>
      </c>
      <c r="Y141">
        <f t="shared" si="139"/>
        <v>0</v>
      </c>
      <c r="Z141">
        <f t="shared" si="140"/>
        <v>0</v>
      </c>
      <c r="AA141" t="str">
        <f t="shared" si="141"/>
        <v>Circ 1</v>
      </c>
      <c r="AB141">
        <f>VLOOKUP(AA141,pxmassif,$D141-2010,FALSE)*Y141</f>
        <v>0</v>
      </c>
      <c r="AC141">
        <f>VLOOKUP(AA141,pxcopeau,$D141-2010,FALSE)*Z141</f>
        <v>0</v>
      </c>
      <c r="AD141">
        <f t="shared" si="148"/>
        <v>16.3125</v>
      </c>
      <c r="AE141">
        <f t="shared" si="149"/>
        <v>0</v>
      </c>
      <c r="AF141">
        <f t="shared" si="150"/>
        <v>7.875</v>
      </c>
      <c r="AG141">
        <f t="shared" si="151"/>
        <v>8.4375</v>
      </c>
      <c r="AH141">
        <f t="shared" si="152"/>
        <v>0</v>
      </c>
      <c r="AI141">
        <f t="shared" si="153"/>
        <v>16.3125</v>
      </c>
      <c r="AJ141">
        <f t="shared" si="154"/>
        <v>0</v>
      </c>
      <c r="AK141">
        <f t="shared" si="142"/>
        <v>16.76925</v>
      </c>
      <c r="AL141">
        <f t="shared" si="143"/>
        <v>194.88074999999998</v>
      </c>
      <c r="AM141">
        <f>IFERROR(MIN(AL141,VLOOKUP(CONCATENATE(C141,"-to lingot"),negchutes,D141-2007,FALSE)),0)</f>
        <v>0</v>
      </c>
      <c r="AN141">
        <f t="shared" si="155"/>
        <v>194.88074999999998</v>
      </c>
      <c r="AO141" t="str">
        <f t="shared" si="156"/>
        <v>Circ 1</v>
      </c>
      <c r="AP141">
        <f>IF(AR141=0,0,IFERROR(VLOOKUP(CONCATENATE($C141,"-to massif"),negchutes,$D141-2007,FALSE),0)*AM141/AR141)</f>
        <v>0</v>
      </c>
      <c r="AQ141">
        <f>IF(AR141=0,0,IFERROR(VLOOKUP(CONCATENATE($C141,"-to copeaux"),negchutes,$D141-2007,FALSE),0)*AM141/AR141)</f>
        <v>0</v>
      </c>
      <c r="AR141">
        <f>IFERROR(VLOOKUP(CONCATENATE($C141,"-to lingot"),negchutes,$D141-2007,FALSE),0)</f>
        <v>0</v>
      </c>
      <c r="AS141">
        <f>IF(AR141=0,0,AP141*VLOOKUP(CONCATENATE($C141,"-ac massif"),negchutes,$D141-2007,FALSE))</f>
        <v>0</v>
      </c>
      <c r="AT141">
        <f>IF(AR141=0,0,AQ141*VLOOKUP(CONCATENATE($C141,"-ac copeaux"),negchutes,$D141-2007,FALSE))</f>
        <v>0</v>
      </c>
      <c r="AU141">
        <f t="shared" si="144"/>
        <v>259.92337499999996</v>
      </c>
      <c r="AV141">
        <f>IFERROR(VLOOKUP(CONCATENATE(C141,"-px lingot"),negchutes,D141-2007,FALSE),0)*AM141</f>
        <v>0</v>
      </c>
      <c r="AW141">
        <f>AN141*VLOOKUP("Marché 1",pxlingot,D141-2010,FALSE)</f>
        <v>4872.0187499999993</v>
      </c>
      <c r="AX141">
        <f t="shared" si="157"/>
        <v>24.247305102763999</v>
      </c>
      <c r="AY141" t="str">
        <f t="shared" si="145"/>
        <v>VAR</v>
      </c>
      <c r="AZ141">
        <f t="shared" si="146"/>
        <v>8.0954999999999995</v>
      </c>
      <c r="BA141">
        <f>MAX(VLOOKUP(VLOOKUP(C141,descmarche,28,FALSE),pxlingot,D141-2010,FALSE),AX141)</f>
        <v>24.247305102763999</v>
      </c>
      <c r="BB141">
        <f t="shared" si="158"/>
        <v>5131.9421250000005</v>
      </c>
      <c r="BC141" t="str">
        <f t="shared" si="147"/>
        <v>Circ 1</v>
      </c>
    </row>
    <row r="142" spans="1:55" x14ac:dyDescent="0.25">
      <c r="A142" t="s">
        <v>69</v>
      </c>
      <c r="B142" s="4" t="s">
        <v>45</v>
      </c>
      <c r="C142" t="str">
        <f t="shared" si="101"/>
        <v>EcoTi-04</v>
      </c>
      <c r="D142">
        <v>2024</v>
      </c>
      <c r="E142">
        <v>150</v>
      </c>
      <c r="F142" t="str">
        <f t="shared" si="126"/>
        <v>Motoristes Aubes</v>
      </c>
      <c r="G142" t="str">
        <f t="shared" si="127"/>
        <v>Motoristes Aubes source EcoTi</v>
      </c>
      <c r="H142" t="str">
        <f t="shared" si="103"/>
        <v>Aval UKAD</v>
      </c>
      <c r="I142">
        <f t="shared" si="128"/>
        <v>5</v>
      </c>
      <c r="J142">
        <f t="shared" si="129"/>
        <v>1411</v>
      </c>
      <c r="K142">
        <f t="shared" si="159"/>
        <v>150</v>
      </c>
      <c r="L142">
        <f t="shared" si="130"/>
        <v>211.65</v>
      </c>
      <c r="M142">
        <f t="shared" si="131"/>
        <v>7.875</v>
      </c>
      <c r="N142">
        <f t="shared" si="132"/>
        <v>0</v>
      </c>
      <c r="O142" t="str">
        <f t="shared" si="133"/>
        <v>Circ 1</v>
      </c>
      <c r="P142">
        <f>VLOOKUP(O142,pxmassif,D142-2010,FALSE)*M142</f>
        <v>7.875</v>
      </c>
      <c r="Q142">
        <f>VLOOKUP(O142,pxcopeau,D142-2010,FALSE)*N142</f>
        <v>0</v>
      </c>
      <c r="R142" t="str">
        <f t="shared" si="134"/>
        <v>BA pour UKAD</v>
      </c>
      <c r="S142">
        <f t="shared" si="135"/>
        <v>8.4375</v>
      </c>
      <c r="T142">
        <f t="shared" si="136"/>
        <v>0</v>
      </c>
      <c r="U142" t="str">
        <f t="shared" si="137"/>
        <v>Circ 1</v>
      </c>
      <c r="V142">
        <f>VLOOKUP(U142,pxmassif,$D142-2010,FALSE)*S142</f>
        <v>8.4375</v>
      </c>
      <c r="W142">
        <f>VLOOKUP(U142,pxcopeau,$D142-2010,FALSE)*T142</f>
        <v>0</v>
      </c>
      <c r="X142" t="str">
        <f t="shared" si="138"/>
        <v>Client</v>
      </c>
      <c r="Y142">
        <f t="shared" si="139"/>
        <v>0</v>
      </c>
      <c r="Z142">
        <f t="shared" si="140"/>
        <v>0</v>
      </c>
      <c r="AA142" t="str">
        <f t="shared" si="141"/>
        <v>Circ 1</v>
      </c>
      <c r="AB142">
        <f>VLOOKUP(AA142,pxmassif,$D142-2010,FALSE)*Y142</f>
        <v>0</v>
      </c>
      <c r="AC142">
        <f>VLOOKUP(AA142,pxcopeau,$D142-2010,FALSE)*Z142</f>
        <v>0</v>
      </c>
      <c r="AD142">
        <f t="shared" si="148"/>
        <v>16.3125</v>
      </c>
      <c r="AE142">
        <f t="shared" si="149"/>
        <v>0</v>
      </c>
      <c r="AF142">
        <f t="shared" si="150"/>
        <v>7.875</v>
      </c>
      <c r="AG142">
        <f t="shared" si="151"/>
        <v>8.4375</v>
      </c>
      <c r="AH142">
        <f t="shared" si="152"/>
        <v>0</v>
      </c>
      <c r="AI142">
        <f t="shared" si="153"/>
        <v>16.3125</v>
      </c>
      <c r="AJ142">
        <f t="shared" si="154"/>
        <v>0</v>
      </c>
      <c r="AK142">
        <f t="shared" si="142"/>
        <v>16.76925</v>
      </c>
      <c r="AL142">
        <f t="shared" si="143"/>
        <v>194.88074999999998</v>
      </c>
      <c r="AM142">
        <f>IFERROR(MIN(AL142,VLOOKUP(CONCATENATE(C142,"-to lingot"),negchutes,D142-2007,FALSE)),0)</f>
        <v>0</v>
      </c>
      <c r="AN142">
        <f t="shared" si="155"/>
        <v>194.88074999999998</v>
      </c>
      <c r="AO142" t="str">
        <f t="shared" si="156"/>
        <v>Circ 1</v>
      </c>
      <c r="AP142">
        <f>IF(AR142=0,0,IFERROR(VLOOKUP(CONCATENATE($C142,"-to massif"),negchutes,$D142-2007,FALSE),0)*AM142/AR142)</f>
        <v>0</v>
      </c>
      <c r="AQ142">
        <f>IF(AR142=0,0,IFERROR(VLOOKUP(CONCATENATE($C142,"-to copeaux"),negchutes,$D142-2007,FALSE),0)*AM142/AR142)</f>
        <v>0</v>
      </c>
      <c r="AR142">
        <f>IFERROR(VLOOKUP(CONCATENATE($C142,"-to lingot"),negchutes,$D142-2007,FALSE),0)</f>
        <v>0</v>
      </c>
      <c r="AS142">
        <f>IF(AR142=0,0,AP142*VLOOKUP(CONCATENATE($C142,"-ac massif"),negchutes,$D142-2007,FALSE))</f>
        <v>0</v>
      </c>
      <c r="AT142">
        <f>IF(AR142=0,0,AQ142*VLOOKUP(CONCATENATE($C142,"-ac copeaux"),negchutes,$D142-2007,FALSE))</f>
        <v>0</v>
      </c>
      <c r="AU142">
        <f t="shared" si="144"/>
        <v>259.92337499999996</v>
      </c>
      <c r="AV142">
        <f>IFERROR(VLOOKUP(CONCATENATE(C142,"-px lingot"),negchutes,D142-2007,FALSE),0)*AM142</f>
        <v>0</v>
      </c>
      <c r="AW142">
        <f>AN142*VLOOKUP("Marché 1",pxlingot,D142-2010,FALSE)</f>
        <v>4872.0187499999993</v>
      </c>
      <c r="AX142">
        <f t="shared" si="157"/>
        <v>24.247305102763999</v>
      </c>
      <c r="AY142" t="str">
        <f t="shared" si="145"/>
        <v>VAR</v>
      </c>
      <c r="AZ142">
        <f t="shared" si="146"/>
        <v>8.0954999999999995</v>
      </c>
      <c r="BA142">
        <f>MAX(VLOOKUP(VLOOKUP(C142,descmarche,28,FALSE),pxlingot,D142-2010,FALSE),AX142)</f>
        <v>24.247305102763999</v>
      </c>
      <c r="BB142">
        <f t="shared" si="158"/>
        <v>5131.9421250000005</v>
      </c>
      <c r="BC142" t="str">
        <f t="shared" si="147"/>
        <v>Circ 1</v>
      </c>
    </row>
    <row r="143" spans="1:55" x14ac:dyDescent="0.25">
      <c r="A143" s="5" t="s">
        <v>69</v>
      </c>
      <c r="B143" s="4" t="s">
        <v>46</v>
      </c>
      <c r="C143" t="str">
        <f t="shared" si="101"/>
        <v>EcoTi-05</v>
      </c>
      <c r="D143">
        <v>2016</v>
      </c>
      <c r="E143">
        <v>50</v>
      </c>
      <c r="F143" t="str">
        <f t="shared" si="126"/>
        <v>Fasteners</v>
      </c>
      <c r="G143" t="str">
        <f t="shared" si="127"/>
        <v>Fasteners Internes source EcoTI</v>
      </c>
      <c r="H143" t="str">
        <f t="shared" si="103"/>
        <v>Aval UKAD</v>
      </c>
      <c r="I143">
        <f t="shared" si="128"/>
        <v>5</v>
      </c>
      <c r="J143">
        <f t="shared" si="129"/>
        <v>1160</v>
      </c>
      <c r="K143">
        <f t="shared" si="159"/>
        <v>50</v>
      </c>
      <c r="L143">
        <f t="shared" si="130"/>
        <v>57.999999999999993</v>
      </c>
      <c r="M143">
        <f t="shared" si="131"/>
        <v>2.625</v>
      </c>
      <c r="N143">
        <f t="shared" si="132"/>
        <v>0</v>
      </c>
      <c r="O143" t="str">
        <f t="shared" si="133"/>
        <v>Circ 1</v>
      </c>
      <c r="P143">
        <f>VLOOKUP(O143,pxmassif,D143-2010,FALSE)*M143</f>
        <v>2.625</v>
      </c>
      <c r="Q143">
        <f>VLOOKUP(O143,pxcopeau,D143-2010,FALSE)*N143</f>
        <v>0</v>
      </c>
      <c r="R143" t="str">
        <f t="shared" si="134"/>
        <v>AD BA</v>
      </c>
      <c r="S143">
        <f t="shared" si="135"/>
        <v>2.8125</v>
      </c>
      <c r="T143">
        <f t="shared" si="136"/>
        <v>0</v>
      </c>
      <c r="U143" t="str">
        <f t="shared" si="137"/>
        <v>Circ 1</v>
      </c>
      <c r="V143">
        <f>VLOOKUP(U143,pxmassif,$D143-2010,FALSE)*S143</f>
        <v>2.8125</v>
      </c>
      <c r="W143">
        <f>VLOOKUP(U143,pxcopeau,$D143-2010,FALSE)*T143</f>
        <v>0</v>
      </c>
      <c r="X143" t="str">
        <f t="shared" si="138"/>
        <v>Client</v>
      </c>
      <c r="Y143">
        <f t="shared" si="139"/>
        <v>4</v>
      </c>
      <c r="Z143">
        <f t="shared" si="140"/>
        <v>0</v>
      </c>
      <c r="AA143" t="str">
        <f t="shared" si="141"/>
        <v>Circ 1</v>
      </c>
      <c r="AB143">
        <f>VLOOKUP(AA143,pxmassif,$D143-2010,FALSE)*Y143</f>
        <v>4</v>
      </c>
      <c r="AC143">
        <f>VLOOKUP(AA143,pxcopeau,$D143-2010,FALSE)*Z143</f>
        <v>0</v>
      </c>
      <c r="AD143">
        <f t="shared" si="148"/>
        <v>5.4375</v>
      </c>
      <c r="AE143">
        <f t="shared" si="149"/>
        <v>0</v>
      </c>
      <c r="AF143">
        <f t="shared" si="150"/>
        <v>2.625</v>
      </c>
      <c r="AG143">
        <f t="shared" si="151"/>
        <v>2.8125</v>
      </c>
      <c r="AH143">
        <f t="shared" si="152"/>
        <v>4</v>
      </c>
      <c r="AI143">
        <f t="shared" si="153"/>
        <v>9.4375</v>
      </c>
      <c r="AJ143">
        <f t="shared" si="154"/>
        <v>0</v>
      </c>
      <c r="AK143">
        <f t="shared" si="142"/>
        <v>9.7017500000000005</v>
      </c>
      <c r="AL143">
        <f t="shared" si="143"/>
        <v>48.298249999999996</v>
      </c>
      <c r="AM143">
        <f>IFERROR(MIN(AL143,VLOOKUP(CONCATENATE(C143,"-to lingot"),negchutes,D143-2007,FALSE)),0)</f>
        <v>0</v>
      </c>
      <c r="AN143">
        <f t="shared" si="155"/>
        <v>48.298249999999996</v>
      </c>
      <c r="AO143" t="str">
        <f t="shared" si="156"/>
        <v>Circ 1</v>
      </c>
      <c r="AP143">
        <f>IF(AR143=0,0,IFERROR(VLOOKUP(CONCATENATE($C143,"-to massif"),negchutes,$D143-2007,FALSE),0)*AM143/AR143)</f>
        <v>0</v>
      </c>
      <c r="AQ143">
        <f>IF(AR143=0,0,IFERROR(VLOOKUP(CONCATENATE($C143,"-to copeaux"),negchutes,$D143-2007,FALSE),0)*AM143/AR143)</f>
        <v>0</v>
      </c>
      <c r="AR143">
        <f>IFERROR(VLOOKUP(CONCATENATE($C143,"-to lingot"),negchutes,$D143-2007,FALSE),0)</f>
        <v>0</v>
      </c>
      <c r="AS143">
        <f>IF(AR143=0,0,AP143*VLOOKUP(CONCATENATE($C143,"-ac massif"),negchutes,$D143-2007,FALSE))</f>
        <v>0</v>
      </c>
      <c r="AT143">
        <f>IF(AR143=0,0,AQ143*VLOOKUP(CONCATENATE($C143,"-ac copeaux"),negchutes,$D143-2007,FALSE))</f>
        <v>0</v>
      </c>
      <c r="AU143">
        <f t="shared" si="144"/>
        <v>150.37712500000001</v>
      </c>
      <c r="AV143">
        <f>IFERROR(VLOOKUP(CONCATENATE(C143,"-px lingot"),negchutes,D143-2007,FALSE),0)*AM143</f>
        <v>0</v>
      </c>
      <c r="AW143">
        <f>AN143*VLOOKUP("Marché 1",pxlingot,D143-2010,FALSE)</f>
        <v>1207.45625</v>
      </c>
      <c r="AX143">
        <f t="shared" si="157"/>
        <v>23.410920258620688</v>
      </c>
      <c r="AY143" t="str">
        <f t="shared" si="145"/>
        <v>VAR</v>
      </c>
      <c r="AZ143">
        <f t="shared" si="146"/>
        <v>2.6985000000000001</v>
      </c>
      <c r="BA143">
        <f>MAX(VLOOKUP(VLOOKUP(C143,descmarche,28,FALSE),pxlingot,D143-2010,FALSE),AX143)</f>
        <v>23.410920258620688</v>
      </c>
      <c r="BB143">
        <f t="shared" si="158"/>
        <v>1357.8333749999997</v>
      </c>
      <c r="BC143" t="str">
        <f t="shared" si="147"/>
        <v>Circ 1</v>
      </c>
    </row>
    <row r="144" spans="1:55" x14ac:dyDescent="0.25">
      <c r="A144" s="5" t="s">
        <v>69</v>
      </c>
      <c r="B144" s="4" t="s">
        <v>46</v>
      </c>
      <c r="C144" t="str">
        <f t="shared" si="101"/>
        <v>EcoTi-05</v>
      </c>
      <c r="D144">
        <v>2017</v>
      </c>
      <c r="E144">
        <v>100</v>
      </c>
      <c r="F144" t="str">
        <f t="shared" si="126"/>
        <v>Fasteners</v>
      </c>
      <c r="G144" t="str">
        <f t="shared" si="127"/>
        <v>Fasteners Internes source EcoTI</v>
      </c>
      <c r="H144" t="str">
        <f t="shared" si="103"/>
        <v>Aval UKAD</v>
      </c>
      <c r="I144">
        <f t="shared" si="128"/>
        <v>5</v>
      </c>
      <c r="J144">
        <f t="shared" si="129"/>
        <v>1160</v>
      </c>
      <c r="K144">
        <f t="shared" si="159"/>
        <v>100</v>
      </c>
      <c r="L144">
        <f t="shared" si="130"/>
        <v>115.99999999999999</v>
      </c>
      <c r="M144">
        <f t="shared" si="131"/>
        <v>5.25</v>
      </c>
      <c r="N144">
        <f t="shared" si="132"/>
        <v>0</v>
      </c>
      <c r="O144" t="str">
        <f t="shared" si="133"/>
        <v>Circ 1</v>
      </c>
      <c r="P144">
        <f>VLOOKUP(O144,pxmassif,D144-2010,FALSE)*M144</f>
        <v>5.25</v>
      </c>
      <c r="Q144">
        <f>VLOOKUP(O144,pxcopeau,D144-2010,FALSE)*N144</f>
        <v>0</v>
      </c>
      <c r="R144" t="str">
        <f t="shared" si="134"/>
        <v>AD BA</v>
      </c>
      <c r="S144">
        <f t="shared" si="135"/>
        <v>5.625</v>
      </c>
      <c r="T144">
        <f t="shared" si="136"/>
        <v>0</v>
      </c>
      <c r="U144" t="str">
        <f t="shared" si="137"/>
        <v>Circ 1</v>
      </c>
      <c r="V144">
        <f>VLOOKUP(U144,pxmassif,$D144-2010,FALSE)*S144</f>
        <v>5.625</v>
      </c>
      <c r="W144">
        <f>VLOOKUP(U144,pxcopeau,$D144-2010,FALSE)*T144</f>
        <v>0</v>
      </c>
      <c r="X144" t="str">
        <f t="shared" si="138"/>
        <v>Client</v>
      </c>
      <c r="Y144">
        <f t="shared" si="139"/>
        <v>8</v>
      </c>
      <c r="Z144">
        <f t="shared" si="140"/>
        <v>0</v>
      </c>
      <c r="AA144" t="str">
        <f t="shared" si="141"/>
        <v>Circ 1</v>
      </c>
      <c r="AB144">
        <f>VLOOKUP(AA144,pxmassif,$D144-2010,FALSE)*Y144</f>
        <v>8</v>
      </c>
      <c r="AC144">
        <f>VLOOKUP(AA144,pxcopeau,$D144-2010,FALSE)*Z144</f>
        <v>0</v>
      </c>
      <c r="AD144">
        <f t="shared" si="148"/>
        <v>10.875</v>
      </c>
      <c r="AE144">
        <f t="shared" si="149"/>
        <v>0</v>
      </c>
      <c r="AF144">
        <f t="shared" si="150"/>
        <v>5.25</v>
      </c>
      <c r="AG144">
        <f t="shared" si="151"/>
        <v>5.625</v>
      </c>
      <c r="AH144">
        <f t="shared" si="152"/>
        <v>8</v>
      </c>
      <c r="AI144">
        <f t="shared" si="153"/>
        <v>18.875</v>
      </c>
      <c r="AJ144">
        <f t="shared" si="154"/>
        <v>0</v>
      </c>
      <c r="AK144">
        <f t="shared" si="142"/>
        <v>19.403500000000001</v>
      </c>
      <c r="AL144">
        <f t="shared" si="143"/>
        <v>96.596499999999992</v>
      </c>
      <c r="AM144">
        <f>IFERROR(MIN(AL144,VLOOKUP(CONCATENATE(C144,"-to lingot"),negchutes,D144-2007,FALSE)),0)</f>
        <v>0</v>
      </c>
      <c r="AN144">
        <f t="shared" si="155"/>
        <v>96.596499999999992</v>
      </c>
      <c r="AO144" t="str">
        <f t="shared" si="156"/>
        <v>Circ 1</v>
      </c>
      <c r="AP144">
        <f>IF(AR144=0,0,IFERROR(VLOOKUP(CONCATENATE($C144,"-to massif"),negchutes,$D144-2007,FALSE),0)*AM144/AR144)</f>
        <v>0</v>
      </c>
      <c r="AQ144">
        <f>IF(AR144=0,0,IFERROR(VLOOKUP(CONCATENATE($C144,"-to copeaux"),negchutes,$D144-2007,FALSE),0)*AM144/AR144)</f>
        <v>0</v>
      </c>
      <c r="AR144">
        <f>IFERROR(VLOOKUP(CONCATENATE($C144,"-to lingot"),negchutes,$D144-2007,FALSE),0)</f>
        <v>0</v>
      </c>
      <c r="AS144">
        <f>IF(AR144=0,0,AP144*VLOOKUP(CONCATENATE($C144,"-ac massif"),negchutes,$D144-2007,FALSE))</f>
        <v>0</v>
      </c>
      <c r="AT144">
        <f>IF(AR144=0,0,AQ144*VLOOKUP(CONCATENATE($C144,"-ac copeaux"),negchutes,$D144-2007,FALSE))</f>
        <v>0</v>
      </c>
      <c r="AU144">
        <f t="shared" si="144"/>
        <v>300.75425000000001</v>
      </c>
      <c r="AV144">
        <f>IFERROR(VLOOKUP(CONCATENATE(C144,"-px lingot"),negchutes,D144-2007,FALSE),0)*AM144</f>
        <v>0</v>
      </c>
      <c r="AW144">
        <f>AN144*VLOOKUP("Marché 1",pxlingot,D144-2010,FALSE)</f>
        <v>2414.9124999999999</v>
      </c>
      <c r="AX144">
        <f t="shared" si="157"/>
        <v>23.410920258620688</v>
      </c>
      <c r="AY144" t="str">
        <f t="shared" si="145"/>
        <v>VAR</v>
      </c>
      <c r="AZ144">
        <f t="shared" si="146"/>
        <v>5.3970000000000002</v>
      </c>
      <c r="BA144">
        <f>MAX(VLOOKUP(VLOOKUP(C144,descmarche,28,FALSE),pxlingot,D144-2010,FALSE),AX144)</f>
        <v>23.410920258620688</v>
      </c>
      <c r="BB144">
        <f t="shared" si="158"/>
        <v>2715.6667499999994</v>
      </c>
      <c r="BC144" t="str">
        <f t="shared" si="147"/>
        <v>Circ 1</v>
      </c>
    </row>
    <row r="145" spans="1:55" x14ac:dyDescent="0.25">
      <c r="A145" s="5" t="s">
        <v>69</v>
      </c>
      <c r="B145" s="4" t="s">
        <v>46</v>
      </c>
      <c r="C145" t="str">
        <f t="shared" si="101"/>
        <v>EcoTi-05</v>
      </c>
      <c r="D145">
        <v>2018</v>
      </c>
      <c r="E145">
        <v>400</v>
      </c>
      <c r="F145" t="str">
        <f t="shared" si="126"/>
        <v>Fasteners</v>
      </c>
      <c r="G145" t="str">
        <f t="shared" si="127"/>
        <v>Fasteners Internes source EcoTI</v>
      </c>
      <c r="H145" t="str">
        <f t="shared" si="103"/>
        <v>Aval UKAD</v>
      </c>
      <c r="I145">
        <f t="shared" si="128"/>
        <v>5</v>
      </c>
      <c r="J145">
        <f t="shared" si="129"/>
        <v>1160</v>
      </c>
      <c r="K145">
        <f t="shared" si="159"/>
        <v>400</v>
      </c>
      <c r="L145">
        <f t="shared" si="130"/>
        <v>463.99999999999994</v>
      </c>
      <c r="M145">
        <f t="shared" si="131"/>
        <v>21</v>
      </c>
      <c r="N145">
        <f t="shared" si="132"/>
        <v>0</v>
      </c>
      <c r="O145" t="str">
        <f t="shared" si="133"/>
        <v>Circ 1</v>
      </c>
      <c r="P145">
        <f>VLOOKUP(O145,pxmassif,D145-2010,FALSE)*M145</f>
        <v>21</v>
      </c>
      <c r="Q145">
        <f>VLOOKUP(O145,pxcopeau,D145-2010,FALSE)*N145</f>
        <v>0</v>
      </c>
      <c r="R145" t="str">
        <f t="shared" si="134"/>
        <v>AD BA</v>
      </c>
      <c r="S145">
        <f t="shared" si="135"/>
        <v>22.5</v>
      </c>
      <c r="T145">
        <f t="shared" si="136"/>
        <v>0</v>
      </c>
      <c r="U145" t="str">
        <f t="shared" si="137"/>
        <v>Circ 1</v>
      </c>
      <c r="V145">
        <f>VLOOKUP(U145,pxmassif,$D145-2010,FALSE)*S145</f>
        <v>22.5</v>
      </c>
      <c r="W145">
        <f>VLOOKUP(U145,pxcopeau,$D145-2010,FALSE)*T145</f>
        <v>0</v>
      </c>
      <c r="X145" t="str">
        <f t="shared" si="138"/>
        <v>Client</v>
      </c>
      <c r="Y145">
        <f t="shared" si="139"/>
        <v>32</v>
      </c>
      <c r="Z145">
        <f t="shared" si="140"/>
        <v>0</v>
      </c>
      <c r="AA145" t="str">
        <f t="shared" si="141"/>
        <v>Circ 1</v>
      </c>
      <c r="AB145">
        <f>VLOOKUP(AA145,pxmassif,$D145-2010,FALSE)*Y145</f>
        <v>32</v>
      </c>
      <c r="AC145">
        <f>VLOOKUP(AA145,pxcopeau,$D145-2010,FALSE)*Z145</f>
        <v>0</v>
      </c>
      <c r="AD145">
        <f t="shared" si="148"/>
        <v>43.5</v>
      </c>
      <c r="AE145">
        <f t="shared" si="149"/>
        <v>0</v>
      </c>
      <c r="AF145">
        <f t="shared" si="150"/>
        <v>21</v>
      </c>
      <c r="AG145">
        <f t="shared" si="151"/>
        <v>22.5</v>
      </c>
      <c r="AH145">
        <f t="shared" si="152"/>
        <v>32</v>
      </c>
      <c r="AI145">
        <f t="shared" si="153"/>
        <v>75.5</v>
      </c>
      <c r="AJ145">
        <f t="shared" si="154"/>
        <v>0</v>
      </c>
      <c r="AK145">
        <f t="shared" si="142"/>
        <v>77.614000000000004</v>
      </c>
      <c r="AL145">
        <f t="shared" si="143"/>
        <v>386.38599999999997</v>
      </c>
      <c r="AM145">
        <f>IFERROR(MIN(AL145,VLOOKUP(CONCATENATE(C145,"-to lingot"),negchutes,D145-2007,FALSE)),0)</f>
        <v>0</v>
      </c>
      <c r="AN145">
        <f t="shared" si="155"/>
        <v>386.38599999999997</v>
      </c>
      <c r="AO145" t="str">
        <f t="shared" si="156"/>
        <v>Circ 1</v>
      </c>
      <c r="AP145">
        <f>IF(AR145=0,0,IFERROR(VLOOKUP(CONCATENATE($C145,"-to massif"),negchutes,$D145-2007,FALSE),0)*AM145/AR145)</f>
        <v>0</v>
      </c>
      <c r="AQ145">
        <f>IF(AR145=0,0,IFERROR(VLOOKUP(CONCATENATE($C145,"-to copeaux"),negchutes,$D145-2007,FALSE),0)*AM145/AR145)</f>
        <v>0</v>
      </c>
      <c r="AR145">
        <f>IFERROR(VLOOKUP(CONCATENATE($C145,"-to lingot"),negchutes,$D145-2007,FALSE),0)</f>
        <v>0</v>
      </c>
      <c r="AS145">
        <f>IF(AR145=0,0,AP145*VLOOKUP(CONCATENATE($C145,"-ac massif"),negchutes,$D145-2007,FALSE))</f>
        <v>0</v>
      </c>
      <c r="AT145">
        <f>IF(AR145=0,0,AQ145*VLOOKUP(CONCATENATE($C145,"-ac copeaux"),negchutes,$D145-2007,FALSE))</f>
        <v>0</v>
      </c>
      <c r="AU145">
        <f t="shared" si="144"/>
        <v>1203.0170000000001</v>
      </c>
      <c r="AV145">
        <f>IFERROR(VLOOKUP(CONCATENATE(C145,"-px lingot"),negchutes,D145-2007,FALSE),0)*AM145</f>
        <v>0</v>
      </c>
      <c r="AW145">
        <f>AN145*VLOOKUP("Marché 1",pxlingot,D145-2010,FALSE)</f>
        <v>9659.65</v>
      </c>
      <c r="AX145">
        <f t="shared" si="157"/>
        <v>23.410920258620688</v>
      </c>
      <c r="AY145" t="str">
        <f t="shared" si="145"/>
        <v>VAR</v>
      </c>
      <c r="AZ145">
        <f t="shared" si="146"/>
        <v>21.588000000000001</v>
      </c>
      <c r="BA145">
        <f>MAX(VLOOKUP(VLOOKUP(C145,descmarche,28,FALSE),pxlingot,D145-2010,FALSE),AX145)</f>
        <v>23.410920258620688</v>
      </c>
      <c r="BB145">
        <f t="shared" si="158"/>
        <v>10862.666999999998</v>
      </c>
      <c r="BC145" t="str">
        <f t="shared" si="147"/>
        <v>Circ 1</v>
      </c>
    </row>
    <row r="146" spans="1:55" x14ac:dyDescent="0.25">
      <c r="A146" s="5" t="s">
        <v>69</v>
      </c>
      <c r="B146" s="4" t="s">
        <v>46</v>
      </c>
      <c r="C146" t="str">
        <f t="shared" si="101"/>
        <v>EcoTi-05</v>
      </c>
      <c r="D146">
        <v>2019</v>
      </c>
      <c r="E146">
        <v>600</v>
      </c>
      <c r="F146" t="str">
        <f t="shared" si="126"/>
        <v>Fasteners</v>
      </c>
      <c r="G146" t="str">
        <f t="shared" si="127"/>
        <v>Fasteners Internes source EcoTI</v>
      </c>
      <c r="H146" t="str">
        <f t="shared" si="103"/>
        <v>Aval UKAD</v>
      </c>
      <c r="I146">
        <f t="shared" si="128"/>
        <v>5</v>
      </c>
      <c r="J146">
        <f t="shared" si="129"/>
        <v>1160</v>
      </c>
      <c r="K146">
        <f t="shared" si="159"/>
        <v>600</v>
      </c>
      <c r="L146">
        <f t="shared" si="130"/>
        <v>696</v>
      </c>
      <c r="M146">
        <f t="shared" si="131"/>
        <v>31.5</v>
      </c>
      <c r="N146">
        <f t="shared" si="132"/>
        <v>0</v>
      </c>
      <c r="O146" t="str">
        <f t="shared" si="133"/>
        <v>Circ 1</v>
      </c>
      <c r="P146">
        <f>VLOOKUP(O146,pxmassif,D146-2010,FALSE)*M146</f>
        <v>31.5</v>
      </c>
      <c r="Q146">
        <f>VLOOKUP(O146,pxcopeau,D146-2010,FALSE)*N146</f>
        <v>0</v>
      </c>
      <c r="R146" t="str">
        <f t="shared" si="134"/>
        <v>AD BA</v>
      </c>
      <c r="S146">
        <f t="shared" si="135"/>
        <v>33.75</v>
      </c>
      <c r="T146">
        <f t="shared" si="136"/>
        <v>0</v>
      </c>
      <c r="U146" t="str">
        <f t="shared" si="137"/>
        <v>Circ 1</v>
      </c>
      <c r="V146">
        <f>VLOOKUP(U146,pxmassif,$D146-2010,FALSE)*S146</f>
        <v>33.75</v>
      </c>
      <c r="W146">
        <f>VLOOKUP(U146,pxcopeau,$D146-2010,FALSE)*T146</f>
        <v>0</v>
      </c>
      <c r="X146" t="str">
        <f t="shared" si="138"/>
        <v>Client</v>
      </c>
      <c r="Y146">
        <f t="shared" si="139"/>
        <v>48</v>
      </c>
      <c r="Z146">
        <f t="shared" si="140"/>
        <v>0</v>
      </c>
      <c r="AA146" t="str">
        <f t="shared" si="141"/>
        <v>Circ 1</v>
      </c>
      <c r="AB146">
        <f>VLOOKUP(AA146,pxmassif,$D146-2010,FALSE)*Y146</f>
        <v>48</v>
      </c>
      <c r="AC146">
        <f>VLOOKUP(AA146,pxcopeau,$D146-2010,FALSE)*Z146</f>
        <v>0</v>
      </c>
      <c r="AD146">
        <f t="shared" si="148"/>
        <v>65.25</v>
      </c>
      <c r="AE146">
        <f t="shared" si="149"/>
        <v>0</v>
      </c>
      <c r="AF146">
        <f t="shared" si="150"/>
        <v>31.5</v>
      </c>
      <c r="AG146">
        <f t="shared" si="151"/>
        <v>33.75</v>
      </c>
      <c r="AH146">
        <f t="shared" si="152"/>
        <v>48</v>
      </c>
      <c r="AI146">
        <f t="shared" si="153"/>
        <v>113.25</v>
      </c>
      <c r="AJ146">
        <f t="shared" si="154"/>
        <v>0</v>
      </c>
      <c r="AK146">
        <f t="shared" si="142"/>
        <v>116.42100000000001</v>
      </c>
      <c r="AL146">
        <f t="shared" si="143"/>
        <v>579.57899999999995</v>
      </c>
      <c r="AM146">
        <f>IFERROR(MIN(AL146,VLOOKUP(CONCATENATE(C146,"-to lingot"),negchutes,D146-2007,FALSE)),0)</f>
        <v>0</v>
      </c>
      <c r="AN146">
        <f t="shared" si="155"/>
        <v>579.57899999999995</v>
      </c>
      <c r="AO146" t="str">
        <f t="shared" si="156"/>
        <v>Circ 1</v>
      </c>
      <c r="AP146">
        <f>IF(AR146=0,0,IFERROR(VLOOKUP(CONCATENATE($C146,"-to massif"),negchutes,$D146-2007,FALSE),0)*AM146/AR146)</f>
        <v>0</v>
      </c>
      <c r="AQ146">
        <f>IF(AR146=0,0,IFERROR(VLOOKUP(CONCATENATE($C146,"-to copeaux"),negchutes,$D146-2007,FALSE),0)*AM146/AR146)</f>
        <v>0</v>
      </c>
      <c r="AR146">
        <f>IFERROR(VLOOKUP(CONCATENATE($C146,"-to lingot"),negchutes,$D146-2007,FALSE),0)</f>
        <v>0</v>
      </c>
      <c r="AS146">
        <f>IF(AR146=0,0,AP146*VLOOKUP(CONCATENATE($C146,"-ac massif"),negchutes,$D146-2007,FALSE))</f>
        <v>0</v>
      </c>
      <c r="AT146">
        <f>IF(AR146=0,0,AQ146*VLOOKUP(CONCATENATE($C146,"-ac copeaux"),negchutes,$D146-2007,FALSE))</f>
        <v>0</v>
      </c>
      <c r="AU146">
        <f t="shared" si="144"/>
        <v>1804.5255000000002</v>
      </c>
      <c r="AV146">
        <f>IFERROR(VLOOKUP(CONCATENATE(C146,"-px lingot"),negchutes,D146-2007,FALSE),0)*AM146</f>
        <v>0</v>
      </c>
      <c r="AW146">
        <f>AN146*VLOOKUP("Marché 1",pxlingot,D146-2010,FALSE)</f>
        <v>14489.474999999999</v>
      </c>
      <c r="AX146">
        <f t="shared" si="157"/>
        <v>23.410920258620688</v>
      </c>
      <c r="AY146" t="str">
        <f t="shared" si="145"/>
        <v>VAR</v>
      </c>
      <c r="AZ146">
        <f t="shared" si="146"/>
        <v>32.381999999999998</v>
      </c>
      <c r="BA146">
        <f>MAX(VLOOKUP(VLOOKUP(C146,descmarche,28,FALSE),pxlingot,D146-2010,FALSE),AX146)</f>
        <v>23.410920258620688</v>
      </c>
      <c r="BB146">
        <f t="shared" si="158"/>
        <v>16294.000499999998</v>
      </c>
      <c r="BC146" t="str">
        <f t="shared" si="147"/>
        <v>Circ 1</v>
      </c>
    </row>
    <row r="147" spans="1:55" x14ac:dyDescent="0.25">
      <c r="A147" s="5" t="s">
        <v>69</v>
      </c>
      <c r="B147" s="4" t="s">
        <v>46</v>
      </c>
      <c r="C147" t="str">
        <f t="shared" si="101"/>
        <v>EcoTi-05</v>
      </c>
      <c r="D147">
        <v>2020</v>
      </c>
      <c r="E147">
        <v>650</v>
      </c>
      <c r="F147" t="str">
        <f t="shared" si="126"/>
        <v>Fasteners</v>
      </c>
      <c r="G147" t="str">
        <f t="shared" si="127"/>
        <v>Fasteners Internes source EcoTI</v>
      </c>
      <c r="H147" t="str">
        <f t="shared" si="103"/>
        <v>Aval UKAD</v>
      </c>
      <c r="I147">
        <f t="shared" si="128"/>
        <v>5</v>
      </c>
      <c r="J147">
        <f t="shared" si="129"/>
        <v>1160</v>
      </c>
      <c r="K147">
        <f t="shared" si="159"/>
        <v>650</v>
      </c>
      <c r="L147">
        <f t="shared" si="130"/>
        <v>754</v>
      </c>
      <c r="M147">
        <f t="shared" si="131"/>
        <v>34.125</v>
      </c>
      <c r="N147">
        <f t="shared" si="132"/>
        <v>0</v>
      </c>
      <c r="O147" t="str">
        <f t="shared" si="133"/>
        <v>Circ 1</v>
      </c>
      <c r="P147">
        <f>VLOOKUP(O147,pxmassif,D147-2010,FALSE)*M147</f>
        <v>34.125</v>
      </c>
      <c r="Q147">
        <f>VLOOKUP(O147,pxcopeau,D147-2010,FALSE)*N147</f>
        <v>0</v>
      </c>
      <c r="R147" t="str">
        <f t="shared" si="134"/>
        <v>AD BA</v>
      </c>
      <c r="S147">
        <f t="shared" si="135"/>
        <v>36.5625</v>
      </c>
      <c r="T147">
        <f t="shared" si="136"/>
        <v>0</v>
      </c>
      <c r="U147" t="str">
        <f t="shared" si="137"/>
        <v>Circ 1</v>
      </c>
      <c r="V147">
        <f>VLOOKUP(U147,pxmassif,$D147-2010,FALSE)*S147</f>
        <v>36.5625</v>
      </c>
      <c r="W147">
        <f>VLOOKUP(U147,pxcopeau,$D147-2010,FALSE)*T147</f>
        <v>0</v>
      </c>
      <c r="X147" t="str">
        <f t="shared" si="138"/>
        <v>Client</v>
      </c>
      <c r="Y147">
        <f t="shared" si="139"/>
        <v>52</v>
      </c>
      <c r="Z147">
        <f t="shared" si="140"/>
        <v>0</v>
      </c>
      <c r="AA147" t="str">
        <f t="shared" si="141"/>
        <v>Circ 1</v>
      </c>
      <c r="AB147">
        <f>VLOOKUP(AA147,pxmassif,$D147-2010,FALSE)*Y147</f>
        <v>52</v>
      </c>
      <c r="AC147">
        <f>VLOOKUP(AA147,pxcopeau,$D147-2010,FALSE)*Z147</f>
        <v>0</v>
      </c>
      <c r="AD147">
        <f t="shared" si="148"/>
        <v>70.6875</v>
      </c>
      <c r="AE147">
        <f t="shared" si="149"/>
        <v>0</v>
      </c>
      <c r="AF147">
        <f t="shared" si="150"/>
        <v>34.125</v>
      </c>
      <c r="AG147">
        <f t="shared" si="151"/>
        <v>36.5625</v>
      </c>
      <c r="AH147">
        <f t="shared" si="152"/>
        <v>52</v>
      </c>
      <c r="AI147">
        <f t="shared" si="153"/>
        <v>122.6875</v>
      </c>
      <c r="AJ147">
        <f t="shared" si="154"/>
        <v>0</v>
      </c>
      <c r="AK147">
        <f t="shared" si="142"/>
        <v>126.12275000000001</v>
      </c>
      <c r="AL147">
        <f t="shared" si="143"/>
        <v>627.87725</v>
      </c>
      <c r="AM147">
        <f>IFERROR(MIN(AL147,VLOOKUP(CONCATENATE(C147,"-to lingot"),negchutes,D147-2007,FALSE)),0)</f>
        <v>0</v>
      </c>
      <c r="AN147">
        <f t="shared" si="155"/>
        <v>627.87725</v>
      </c>
      <c r="AO147" t="str">
        <f t="shared" si="156"/>
        <v>Circ 1</v>
      </c>
      <c r="AP147">
        <f>IF(AR147=0,0,IFERROR(VLOOKUP(CONCATENATE($C147,"-to massif"),negchutes,$D147-2007,FALSE),0)*AM147/AR147)</f>
        <v>0</v>
      </c>
      <c r="AQ147">
        <f>IF(AR147=0,0,IFERROR(VLOOKUP(CONCATENATE($C147,"-to copeaux"),negchutes,$D147-2007,FALSE),0)*AM147/AR147)</f>
        <v>0</v>
      </c>
      <c r="AR147">
        <f>IFERROR(VLOOKUP(CONCATENATE($C147,"-to lingot"),negchutes,$D147-2007,FALSE),0)</f>
        <v>0</v>
      </c>
      <c r="AS147">
        <f>IF(AR147=0,0,AP147*VLOOKUP(CONCATENATE($C147,"-ac massif"),negchutes,$D147-2007,FALSE))</f>
        <v>0</v>
      </c>
      <c r="AT147">
        <f>IF(AR147=0,0,AQ147*VLOOKUP(CONCATENATE($C147,"-ac copeaux"),negchutes,$D147-2007,FALSE))</f>
        <v>0</v>
      </c>
      <c r="AU147">
        <f t="shared" si="144"/>
        <v>1954.9026250000002</v>
      </c>
      <c r="AV147">
        <f>IFERROR(VLOOKUP(CONCATENATE(C147,"-px lingot"),negchutes,D147-2007,FALSE),0)*AM147</f>
        <v>0</v>
      </c>
      <c r="AW147">
        <f>AN147*VLOOKUP("Marché 1",pxlingot,D147-2010,FALSE)</f>
        <v>15696.93125</v>
      </c>
      <c r="AX147">
        <f t="shared" si="157"/>
        <v>23.410920258620688</v>
      </c>
      <c r="AY147" t="str">
        <f t="shared" si="145"/>
        <v>VAR</v>
      </c>
      <c r="AZ147">
        <f t="shared" si="146"/>
        <v>35.080500000000001</v>
      </c>
      <c r="BA147">
        <f>MAX(VLOOKUP(VLOOKUP(C147,descmarche,28,FALSE),pxlingot,D147-2010,FALSE),AX147)</f>
        <v>23.410920258620688</v>
      </c>
      <c r="BB147">
        <f t="shared" si="158"/>
        <v>17651.833875</v>
      </c>
      <c r="BC147" t="str">
        <f t="shared" si="147"/>
        <v>Circ 1</v>
      </c>
    </row>
    <row r="148" spans="1:55" x14ac:dyDescent="0.25">
      <c r="A148" s="5" t="s">
        <v>69</v>
      </c>
      <c r="B148" s="4" t="s">
        <v>46</v>
      </c>
      <c r="C148" t="str">
        <f t="shared" si="101"/>
        <v>EcoTi-05</v>
      </c>
      <c r="D148">
        <v>2021</v>
      </c>
      <c r="E148">
        <v>650</v>
      </c>
      <c r="F148" t="str">
        <f t="shared" si="126"/>
        <v>Fasteners</v>
      </c>
      <c r="G148" t="str">
        <f t="shared" si="127"/>
        <v>Fasteners Internes source EcoTI</v>
      </c>
      <c r="H148" t="str">
        <f t="shared" si="103"/>
        <v>Aval UKAD</v>
      </c>
      <c r="I148">
        <f t="shared" si="128"/>
        <v>5</v>
      </c>
      <c r="J148">
        <f t="shared" si="129"/>
        <v>1160</v>
      </c>
      <c r="K148">
        <f t="shared" si="159"/>
        <v>650</v>
      </c>
      <c r="L148">
        <f t="shared" si="130"/>
        <v>754</v>
      </c>
      <c r="M148">
        <f t="shared" si="131"/>
        <v>34.125</v>
      </c>
      <c r="N148">
        <f t="shared" si="132"/>
        <v>0</v>
      </c>
      <c r="O148" t="str">
        <f t="shared" si="133"/>
        <v>Circ 1</v>
      </c>
      <c r="P148">
        <f>VLOOKUP(O148,pxmassif,D148-2010,FALSE)*M148</f>
        <v>34.125</v>
      </c>
      <c r="Q148">
        <f>VLOOKUP(O148,pxcopeau,D148-2010,FALSE)*N148</f>
        <v>0</v>
      </c>
      <c r="R148" t="str">
        <f t="shared" si="134"/>
        <v>AD BA</v>
      </c>
      <c r="S148">
        <f t="shared" si="135"/>
        <v>36.5625</v>
      </c>
      <c r="T148">
        <f t="shared" si="136"/>
        <v>0</v>
      </c>
      <c r="U148" t="str">
        <f t="shared" si="137"/>
        <v>Circ 1</v>
      </c>
      <c r="V148">
        <f>VLOOKUP(U148,pxmassif,$D148-2010,FALSE)*S148</f>
        <v>36.5625</v>
      </c>
      <c r="W148">
        <f>VLOOKUP(U148,pxcopeau,$D148-2010,FALSE)*T148</f>
        <v>0</v>
      </c>
      <c r="X148" t="str">
        <f t="shared" si="138"/>
        <v>Client</v>
      </c>
      <c r="Y148">
        <f t="shared" si="139"/>
        <v>52</v>
      </c>
      <c r="Z148">
        <f t="shared" si="140"/>
        <v>0</v>
      </c>
      <c r="AA148" t="str">
        <f t="shared" si="141"/>
        <v>Circ 1</v>
      </c>
      <c r="AB148">
        <f>VLOOKUP(AA148,pxmassif,$D148-2010,FALSE)*Y148</f>
        <v>52</v>
      </c>
      <c r="AC148">
        <f>VLOOKUP(AA148,pxcopeau,$D148-2010,FALSE)*Z148</f>
        <v>0</v>
      </c>
      <c r="AD148">
        <f t="shared" si="148"/>
        <v>70.6875</v>
      </c>
      <c r="AE148">
        <f t="shared" si="149"/>
        <v>0</v>
      </c>
      <c r="AF148">
        <f t="shared" si="150"/>
        <v>34.125</v>
      </c>
      <c r="AG148">
        <f t="shared" si="151"/>
        <v>36.5625</v>
      </c>
      <c r="AH148">
        <f t="shared" si="152"/>
        <v>52</v>
      </c>
      <c r="AI148">
        <f t="shared" si="153"/>
        <v>122.6875</v>
      </c>
      <c r="AJ148">
        <f t="shared" si="154"/>
        <v>0</v>
      </c>
      <c r="AK148">
        <f t="shared" si="142"/>
        <v>126.12275000000001</v>
      </c>
      <c r="AL148">
        <f t="shared" si="143"/>
        <v>627.87725</v>
      </c>
      <c r="AM148">
        <f>IFERROR(MIN(AL148,VLOOKUP(CONCATENATE(C148,"-to lingot"),negchutes,D148-2007,FALSE)),0)</f>
        <v>0</v>
      </c>
      <c r="AN148">
        <f t="shared" si="155"/>
        <v>627.87725</v>
      </c>
      <c r="AO148" t="str">
        <f t="shared" si="156"/>
        <v>Circ 1</v>
      </c>
      <c r="AP148">
        <f>IF(AR148=0,0,IFERROR(VLOOKUP(CONCATENATE($C148,"-to massif"),negchutes,$D148-2007,FALSE),0)*AM148/AR148)</f>
        <v>0</v>
      </c>
      <c r="AQ148">
        <f>IF(AR148=0,0,IFERROR(VLOOKUP(CONCATENATE($C148,"-to copeaux"),negchutes,$D148-2007,FALSE),0)*AM148/AR148)</f>
        <v>0</v>
      </c>
      <c r="AR148">
        <f>IFERROR(VLOOKUP(CONCATENATE($C148,"-to lingot"),negchutes,$D148-2007,FALSE),0)</f>
        <v>0</v>
      </c>
      <c r="AS148">
        <f>IF(AR148=0,0,AP148*VLOOKUP(CONCATENATE($C148,"-ac massif"),negchutes,$D148-2007,FALSE))</f>
        <v>0</v>
      </c>
      <c r="AT148">
        <f>IF(AR148=0,0,AQ148*VLOOKUP(CONCATENATE($C148,"-ac copeaux"),negchutes,$D148-2007,FALSE))</f>
        <v>0</v>
      </c>
      <c r="AU148">
        <f t="shared" si="144"/>
        <v>1954.9026250000002</v>
      </c>
      <c r="AV148">
        <f>IFERROR(VLOOKUP(CONCATENATE(C148,"-px lingot"),negchutes,D148-2007,FALSE),0)*AM148</f>
        <v>0</v>
      </c>
      <c r="AW148">
        <f>AN148*VLOOKUP("Marché 1",pxlingot,D148-2010,FALSE)</f>
        <v>15696.93125</v>
      </c>
      <c r="AX148">
        <f t="shared" si="157"/>
        <v>23.410920258620688</v>
      </c>
      <c r="AY148" t="str">
        <f t="shared" si="145"/>
        <v>VAR</v>
      </c>
      <c r="AZ148">
        <f t="shared" si="146"/>
        <v>35.080500000000001</v>
      </c>
      <c r="BA148">
        <f>MAX(VLOOKUP(VLOOKUP(C148,descmarche,28,FALSE),pxlingot,D148-2010,FALSE),AX148)</f>
        <v>23.410920258620688</v>
      </c>
      <c r="BB148">
        <f t="shared" si="158"/>
        <v>17651.833875</v>
      </c>
      <c r="BC148" t="str">
        <f t="shared" si="147"/>
        <v>Circ 1</v>
      </c>
    </row>
    <row r="149" spans="1:55" x14ac:dyDescent="0.25">
      <c r="A149" s="5" t="s">
        <v>69</v>
      </c>
      <c r="B149" s="4" t="s">
        <v>46</v>
      </c>
      <c r="C149" t="str">
        <f t="shared" si="101"/>
        <v>EcoTi-05</v>
      </c>
      <c r="D149">
        <v>2022</v>
      </c>
      <c r="E149">
        <v>650</v>
      </c>
      <c r="F149" t="str">
        <f t="shared" si="126"/>
        <v>Fasteners</v>
      </c>
      <c r="G149" t="str">
        <f t="shared" si="127"/>
        <v>Fasteners Internes source EcoTI</v>
      </c>
      <c r="H149" t="str">
        <f t="shared" si="103"/>
        <v>Aval UKAD</v>
      </c>
      <c r="I149">
        <f t="shared" si="128"/>
        <v>5</v>
      </c>
      <c r="J149">
        <f t="shared" si="129"/>
        <v>1160</v>
      </c>
      <c r="K149">
        <f t="shared" si="159"/>
        <v>650</v>
      </c>
      <c r="L149">
        <f t="shared" si="130"/>
        <v>754</v>
      </c>
      <c r="M149">
        <f t="shared" si="131"/>
        <v>34.125</v>
      </c>
      <c r="N149">
        <f t="shared" si="132"/>
        <v>0</v>
      </c>
      <c r="O149" t="str">
        <f t="shared" si="133"/>
        <v>Circ 1</v>
      </c>
      <c r="P149">
        <f>VLOOKUP(O149,pxmassif,D149-2010,FALSE)*M149</f>
        <v>34.125</v>
      </c>
      <c r="Q149">
        <f>VLOOKUP(O149,pxcopeau,D149-2010,FALSE)*N149</f>
        <v>0</v>
      </c>
      <c r="R149" t="str">
        <f t="shared" si="134"/>
        <v>AD BA</v>
      </c>
      <c r="S149">
        <f t="shared" si="135"/>
        <v>36.5625</v>
      </c>
      <c r="T149">
        <f t="shared" si="136"/>
        <v>0</v>
      </c>
      <c r="U149" t="str">
        <f t="shared" si="137"/>
        <v>Circ 1</v>
      </c>
      <c r="V149">
        <f>VLOOKUP(U149,pxmassif,$D149-2010,FALSE)*S149</f>
        <v>36.5625</v>
      </c>
      <c r="W149">
        <f>VLOOKUP(U149,pxcopeau,$D149-2010,FALSE)*T149</f>
        <v>0</v>
      </c>
      <c r="X149" t="str">
        <f t="shared" si="138"/>
        <v>Client</v>
      </c>
      <c r="Y149">
        <f t="shared" si="139"/>
        <v>52</v>
      </c>
      <c r="Z149">
        <f t="shared" si="140"/>
        <v>0</v>
      </c>
      <c r="AA149" t="str">
        <f t="shared" si="141"/>
        <v>Circ 1</v>
      </c>
      <c r="AB149">
        <f>VLOOKUP(AA149,pxmassif,$D149-2010,FALSE)*Y149</f>
        <v>52</v>
      </c>
      <c r="AC149">
        <f>VLOOKUP(AA149,pxcopeau,$D149-2010,FALSE)*Z149</f>
        <v>0</v>
      </c>
      <c r="AD149">
        <f t="shared" si="148"/>
        <v>70.6875</v>
      </c>
      <c r="AE149">
        <f t="shared" si="149"/>
        <v>0</v>
      </c>
      <c r="AF149">
        <f t="shared" si="150"/>
        <v>34.125</v>
      </c>
      <c r="AG149">
        <f t="shared" si="151"/>
        <v>36.5625</v>
      </c>
      <c r="AH149">
        <f t="shared" si="152"/>
        <v>52</v>
      </c>
      <c r="AI149">
        <f t="shared" si="153"/>
        <v>122.6875</v>
      </c>
      <c r="AJ149">
        <f t="shared" si="154"/>
        <v>0</v>
      </c>
      <c r="AK149">
        <f t="shared" si="142"/>
        <v>126.12275000000001</v>
      </c>
      <c r="AL149">
        <f t="shared" si="143"/>
        <v>627.87725</v>
      </c>
      <c r="AM149">
        <f>IFERROR(MIN(AL149,VLOOKUP(CONCATENATE(C149,"-to lingot"),negchutes,D149-2007,FALSE)),0)</f>
        <v>0</v>
      </c>
      <c r="AN149">
        <f t="shared" si="155"/>
        <v>627.87725</v>
      </c>
      <c r="AO149" t="str">
        <f t="shared" si="156"/>
        <v>Circ 1</v>
      </c>
      <c r="AP149">
        <f>IF(AR149=0,0,IFERROR(VLOOKUP(CONCATENATE($C149,"-to massif"),negchutes,$D149-2007,FALSE),0)*AM149/AR149)</f>
        <v>0</v>
      </c>
      <c r="AQ149">
        <f>IF(AR149=0,0,IFERROR(VLOOKUP(CONCATENATE($C149,"-to copeaux"),negchutes,$D149-2007,FALSE),0)*AM149/AR149)</f>
        <v>0</v>
      </c>
      <c r="AR149">
        <f>IFERROR(VLOOKUP(CONCATENATE($C149,"-to lingot"),negchutes,$D149-2007,FALSE),0)</f>
        <v>0</v>
      </c>
      <c r="AS149">
        <f>IF(AR149=0,0,AP149*VLOOKUP(CONCATENATE($C149,"-ac massif"),negchutes,$D149-2007,FALSE))</f>
        <v>0</v>
      </c>
      <c r="AT149">
        <f>IF(AR149=0,0,AQ149*VLOOKUP(CONCATENATE($C149,"-ac copeaux"),negchutes,$D149-2007,FALSE))</f>
        <v>0</v>
      </c>
      <c r="AU149">
        <f t="shared" si="144"/>
        <v>1954.9026250000002</v>
      </c>
      <c r="AV149">
        <f>IFERROR(VLOOKUP(CONCATENATE(C149,"-px lingot"),negchutes,D149-2007,FALSE),0)*AM149</f>
        <v>0</v>
      </c>
      <c r="AW149">
        <f>AN149*VLOOKUP("Marché 1",pxlingot,D149-2010,FALSE)</f>
        <v>15696.93125</v>
      </c>
      <c r="AX149">
        <f t="shared" si="157"/>
        <v>23.410920258620688</v>
      </c>
      <c r="AY149" t="str">
        <f t="shared" si="145"/>
        <v>VAR</v>
      </c>
      <c r="AZ149">
        <f t="shared" si="146"/>
        <v>35.080500000000001</v>
      </c>
      <c r="BA149">
        <f>MAX(VLOOKUP(VLOOKUP(C149,descmarche,28,FALSE),pxlingot,D149-2010,FALSE),AX149)</f>
        <v>23.410920258620688</v>
      </c>
      <c r="BB149">
        <f t="shared" si="158"/>
        <v>17651.833875</v>
      </c>
      <c r="BC149" t="str">
        <f t="shared" si="147"/>
        <v>Circ 1</v>
      </c>
    </row>
    <row r="150" spans="1:55" x14ac:dyDescent="0.25">
      <c r="A150" s="5" t="s">
        <v>69</v>
      </c>
      <c r="B150" s="4" t="s">
        <v>46</v>
      </c>
      <c r="C150" t="str">
        <f t="shared" si="101"/>
        <v>EcoTi-05</v>
      </c>
      <c r="D150">
        <v>2023</v>
      </c>
      <c r="E150">
        <v>650</v>
      </c>
      <c r="F150" t="str">
        <f t="shared" si="126"/>
        <v>Fasteners</v>
      </c>
      <c r="G150" t="str">
        <f t="shared" si="127"/>
        <v>Fasteners Internes source EcoTI</v>
      </c>
      <c r="H150" t="str">
        <f t="shared" si="103"/>
        <v>Aval UKAD</v>
      </c>
      <c r="I150">
        <f t="shared" si="128"/>
        <v>5</v>
      </c>
      <c r="J150">
        <f t="shared" si="129"/>
        <v>1160</v>
      </c>
      <c r="K150">
        <f t="shared" si="159"/>
        <v>650</v>
      </c>
      <c r="L150">
        <f t="shared" si="130"/>
        <v>754</v>
      </c>
      <c r="M150">
        <f t="shared" si="131"/>
        <v>34.125</v>
      </c>
      <c r="N150">
        <f t="shared" si="132"/>
        <v>0</v>
      </c>
      <c r="O150" t="str">
        <f t="shared" si="133"/>
        <v>Circ 1</v>
      </c>
      <c r="P150">
        <f>VLOOKUP(O150,pxmassif,D150-2010,FALSE)*M150</f>
        <v>34.125</v>
      </c>
      <c r="Q150">
        <f>VLOOKUP(O150,pxcopeau,D150-2010,FALSE)*N150</f>
        <v>0</v>
      </c>
      <c r="R150" t="str">
        <f t="shared" si="134"/>
        <v>AD BA</v>
      </c>
      <c r="S150">
        <f t="shared" si="135"/>
        <v>36.5625</v>
      </c>
      <c r="T150">
        <f t="shared" si="136"/>
        <v>0</v>
      </c>
      <c r="U150" t="str">
        <f t="shared" si="137"/>
        <v>Circ 1</v>
      </c>
      <c r="V150">
        <f>VLOOKUP(U150,pxmassif,$D150-2010,FALSE)*S150</f>
        <v>36.5625</v>
      </c>
      <c r="W150">
        <f>VLOOKUP(U150,pxcopeau,$D150-2010,FALSE)*T150</f>
        <v>0</v>
      </c>
      <c r="X150" t="str">
        <f t="shared" si="138"/>
        <v>Client</v>
      </c>
      <c r="Y150">
        <f t="shared" si="139"/>
        <v>52</v>
      </c>
      <c r="Z150">
        <f t="shared" si="140"/>
        <v>0</v>
      </c>
      <c r="AA150" t="str">
        <f t="shared" si="141"/>
        <v>Circ 1</v>
      </c>
      <c r="AB150">
        <f>VLOOKUP(AA150,pxmassif,$D150-2010,FALSE)*Y150</f>
        <v>52</v>
      </c>
      <c r="AC150">
        <f>VLOOKUP(AA150,pxcopeau,$D150-2010,FALSE)*Z150</f>
        <v>0</v>
      </c>
      <c r="AD150">
        <f t="shared" si="148"/>
        <v>70.6875</v>
      </c>
      <c r="AE150">
        <f t="shared" si="149"/>
        <v>0</v>
      </c>
      <c r="AF150">
        <f t="shared" si="150"/>
        <v>34.125</v>
      </c>
      <c r="AG150">
        <f t="shared" si="151"/>
        <v>36.5625</v>
      </c>
      <c r="AH150">
        <f t="shared" si="152"/>
        <v>52</v>
      </c>
      <c r="AI150">
        <f t="shared" si="153"/>
        <v>122.6875</v>
      </c>
      <c r="AJ150">
        <f t="shared" si="154"/>
        <v>0</v>
      </c>
      <c r="AK150">
        <f t="shared" si="142"/>
        <v>126.12275000000001</v>
      </c>
      <c r="AL150">
        <f t="shared" si="143"/>
        <v>627.87725</v>
      </c>
      <c r="AM150">
        <f>IFERROR(MIN(AL150,VLOOKUP(CONCATENATE(C150,"-to lingot"),negchutes,D150-2007,FALSE)),0)</f>
        <v>0</v>
      </c>
      <c r="AN150">
        <f t="shared" si="155"/>
        <v>627.87725</v>
      </c>
      <c r="AO150" t="str">
        <f t="shared" si="156"/>
        <v>Circ 1</v>
      </c>
      <c r="AP150">
        <f>IF(AR150=0,0,IFERROR(VLOOKUP(CONCATENATE($C150,"-to massif"),negchutes,$D150-2007,FALSE),0)*AM150/AR150)</f>
        <v>0</v>
      </c>
      <c r="AQ150">
        <f>IF(AR150=0,0,IFERROR(VLOOKUP(CONCATENATE($C150,"-to copeaux"),negchutes,$D150-2007,FALSE),0)*AM150/AR150)</f>
        <v>0</v>
      </c>
      <c r="AR150">
        <f>IFERROR(VLOOKUP(CONCATENATE($C150,"-to lingot"),negchutes,$D150-2007,FALSE),0)</f>
        <v>0</v>
      </c>
      <c r="AS150">
        <f>IF(AR150=0,0,AP150*VLOOKUP(CONCATENATE($C150,"-ac massif"),negchutes,$D150-2007,FALSE))</f>
        <v>0</v>
      </c>
      <c r="AT150">
        <f>IF(AR150=0,0,AQ150*VLOOKUP(CONCATENATE($C150,"-ac copeaux"),negchutes,$D150-2007,FALSE))</f>
        <v>0</v>
      </c>
      <c r="AU150">
        <f t="shared" si="144"/>
        <v>1954.9026250000002</v>
      </c>
      <c r="AV150">
        <f>IFERROR(VLOOKUP(CONCATENATE(C150,"-px lingot"),negchutes,D150-2007,FALSE),0)*AM150</f>
        <v>0</v>
      </c>
      <c r="AW150">
        <f>AN150*VLOOKUP("Marché 1",pxlingot,D150-2010,FALSE)</f>
        <v>15696.93125</v>
      </c>
      <c r="AX150">
        <f t="shared" si="157"/>
        <v>23.410920258620688</v>
      </c>
      <c r="AY150" t="str">
        <f t="shared" si="145"/>
        <v>VAR</v>
      </c>
      <c r="AZ150">
        <f t="shared" si="146"/>
        <v>35.080500000000001</v>
      </c>
      <c r="BA150">
        <f>MAX(VLOOKUP(VLOOKUP(C150,descmarche,28,FALSE),pxlingot,D150-2010,FALSE),AX150)</f>
        <v>23.410920258620688</v>
      </c>
      <c r="BB150">
        <f t="shared" si="158"/>
        <v>17651.833875</v>
      </c>
      <c r="BC150" t="str">
        <f t="shared" si="147"/>
        <v>Circ 1</v>
      </c>
    </row>
    <row r="151" spans="1:55" x14ac:dyDescent="0.25">
      <c r="A151" s="5" t="s">
        <v>69</v>
      </c>
      <c r="B151" s="4" t="s">
        <v>46</v>
      </c>
      <c r="C151" t="str">
        <f t="shared" si="101"/>
        <v>EcoTi-05</v>
      </c>
      <c r="D151">
        <v>2024</v>
      </c>
      <c r="E151">
        <v>650</v>
      </c>
      <c r="F151" t="str">
        <f t="shared" si="126"/>
        <v>Fasteners</v>
      </c>
      <c r="G151" t="str">
        <f t="shared" si="127"/>
        <v>Fasteners Internes source EcoTI</v>
      </c>
      <c r="H151" t="str">
        <f t="shared" si="103"/>
        <v>Aval UKAD</v>
      </c>
      <c r="I151">
        <f t="shared" si="128"/>
        <v>5</v>
      </c>
      <c r="J151">
        <f t="shared" si="129"/>
        <v>1160</v>
      </c>
      <c r="K151">
        <f t="shared" si="159"/>
        <v>650</v>
      </c>
      <c r="L151">
        <f t="shared" si="130"/>
        <v>754</v>
      </c>
      <c r="M151">
        <f t="shared" si="131"/>
        <v>34.125</v>
      </c>
      <c r="N151">
        <f t="shared" si="132"/>
        <v>0</v>
      </c>
      <c r="O151" t="str">
        <f t="shared" si="133"/>
        <v>Circ 1</v>
      </c>
      <c r="P151">
        <f>VLOOKUP(O151,pxmassif,D151-2010,FALSE)*M151</f>
        <v>34.125</v>
      </c>
      <c r="Q151">
        <f>VLOOKUP(O151,pxcopeau,D151-2010,FALSE)*N151</f>
        <v>0</v>
      </c>
      <c r="R151" t="str">
        <f t="shared" si="134"/>
        <v>AD BA</v>
      </c>
      <c r="S151">
        <f t="shared" si="135"/>
        <v>36.5625</v>
      </c>
      <c r="T151">
        <f t="shared" si="136"/>
        <v>0</v>
      </c>
      <c r="U151" t="str">
        <f t="shared" si="137"/>
        <v>Circ 1</v>
      </c>
      <c r="V151">
        <f>VLOOKUP(U151,pxmassif,$D151-2010,FALSE)*S151</f>
        <v>36.5625</v>
      </c>
      <c r="W151">
        <f>VLOOKUP(U151,pxcopeau,$D151-2010,FALSE)*T151</f>
        <v>0</v>
      </c>
      <c r="X151" t="str">
        <f t="shared" si="138"/>
        <v>Client</v>
      </c>
      <c r="Y151">
        <f t="shared" si="139"/>
        <v>52</v>
      </c>
      <c r="Z151">
        <f t="shared" si="140"/>
        <v>0</v>
      </c>
      <c r="AA151" t="str">
        <f t="shared" si="141"/>
        <v>Circ 1</v>
      </c>
      <c r="AB151">
        <f>VLOOKUP(AA151,pxmassif,$D151-2010,FALSE)*Y151</f>
        <v>52</v>
      </c>
      <c r="AC151">
        <f>VLOOKUP(AA151,pxcopeau,$D151-2010,FALSE)*Z151</f>
        <v>0</v>
      </c>
      <c r="AD151">
        <f t="shared" si="148"/>
        <v>70.6875</v>
      </c>
      <c r="AE151">
        <f t="shared" si="149"/>
        <v>0</v>
      </c>
      <c r="AF151">
        <f t="shared" si="150"/>
        <v>34.125</v>
      </c>
      <c r="AG151">
        <f t="shared" si="151"/>
        <v>36.5625</v>
      </c>
      <c r="AH151">
        <f t="shared" si="152"/>
        <v>52</v>
      </c>
      <c r="AI151">
        <f t="shared" si="153"/>
        <v>122.6875</v>
      </c>
      <c r="AJ151">
        <f t="shared" si="154"/>
        <v>0</v>
      </c>
      <c r="AK151">
        <f t="shared" si="142"/>
        <v>126.12275000000001</v>
      </c>
      <c r="AL151">
        <f t="shared" si="143"/>
        <v>627.87725</v>
      </c>
      <c r="AM151">
        <f>IFERROR(MIN(AL151,VLOOKUP(CONCATENATE(C151,"-to lingot"),negchutes,D151-2007,FALSE)),0)</f>
        <v>0</v>
      </c>
      <c r="AN151">
        <f t="shared" si="155"/>
        <v>627.87725</v>
      </c>
      <c r="AO151" t="str">
        <f t="shared" si="156"/>
        <v>Circ 1</v>
      </c>
      <c r="AP151">
        <f>IF(AR151=0,0,IFERROR(VLOOKUP(CONCATENATE($C151,"-to massif"),negchutes,$D151-2007,FALSE),0)*AM151/AR151)</f>
        <v>0</v>
      </c>
      <c r="AQ151">
        <f>IF(AR151=0,0,IFERROR(VLOOKUP(CONCATENATE($C151,"-to copeaux"),negchutes,$D151-2007,FALSE),0)*AM151/AR151)</f>
        <v>0</v>
      </c>
      <c r="AR151">
        <f>IFERROR(VLOOKUP(CONCATENATE($C151,"-to lingot"),negchutes,$D151-2007,FALSE),0)</f>
        <v>0</v>
      </c>
      <c r="AS151">
        <f>IF(AR151=0,0,AP151*VLOOKUP(CONCATENATE($C151,"-ac massif"),negchutes,$D151-2007,FALSE))</f>
        <v>0</v>
      </c>
      <c r="AT151">
        <f>IF(AR151=0,0,AQ151*VLOOKUP(CONCATENATE($C151,"-ac copeaux"),negchutes,$D151-2007,FALSE))</f>
        <v>0</v>
      </c>
      <c r="AU151">
        <f t="shared" si="144"/>
        <v>1954.9026250000002</v>
      </c>
      <c r="AV151">
        <f>IFERROR(VLOOKUP(CONCATENATE(C151,"-px lingot"),negchutes,D151-2007,FALSE),0)*AM151</f>
        <v>0</v>
      </c>
      <c r="AW151">
        <f>AN151*VLOOKUP("Marché 1",pxlingot,D151-2010,FALSE)</f>
        <v>15696.93125</v>
      </c>
      <c r="AX151">
        <f t="shared" si="157"/>
        <v>23.410920258620688</v>
      </c>
      <c r="AY151" t="str">
        <f t="shared" si="145"/>
        <v>VAR</v>
      </c>
      <c r="AZ151">
        <f t="shared" si="146"/>
        <v>35.080500000000001</v>
      </c>
      <c r="BA151">
        <f>MAX(VLOOKUP(VLOOKUP(C151,descmarche,28,FALSE),pxlingot,D151-2010,FALSE),AX151)</f>
        <v>23.410920258620688</v>
      </c>
      <c r="BB151">
        <f t="shared" si="158"/>
        <v>17651.833875</v>
      </c>
      <c r="BC151" t="str">
        <f t="shared" si="147"/>
        <v>Circ 1</v>
      </c>
    </row>
    <row r="152" spans="1:55" x14ac:dyDescent="0.25">
      <c r="A152" s="5" t="s">
        <v>69</v>
      </c>
      <c r="B152" s="4" t="s">
        <v>47</v>
      </c>
      <c r="C152" t="str">
        <f t="shared" si="101"/>
        <v>EcoTi-06</v>
      </c>
      <c r="D152">
        <v>2016</v>
      </c>
      <c r="E152">
        <v>50</v>
      </c>
      <c r="F152" t="str">
        <f t="shared" si="126"/>
        <v>Médical</v>
      </c>
      <c r="G152" t="str">
        <f t="shared" si="127"/>
        <v>Stainless source EcoTi</v>
      </c>
      <c r="H152" t="str">
        <f t="shared" si="103"/>
        <v>Aval UKAD</v>
      </c>
      <c r="I152">
        <f t="shared" si="128"/>
        <v>23</v>
      </c>
      <c r="J152">
        <f t="shared" si="129"/>
        <v>1411</v>
      </c>
      <c r="K152">
        <f t="shared" si="159"/>
        <v>50</v>
      </c>
      <c r="L152">
        <f t="shared" si="130"/>
        <v>70.55</v>
      </c>
      <c r="M152">
        <f t="shared" si="131"/>
        <v>2.625</v>
      </c>
      <c r="N152">
        <f t="shared" si="132"/>
        <v>0</v>
      </c>
      <c r="O152" t="str">
        <f t="shared" si="133"/>
        <v>Circ 1</v>
      </c>
      <c r="P152">
        <f>VLOOKUP(O152,pxmassif,D152-2010,FALSE)*M152</f>
        <v>2.625</v>
      </c>
      <c r="Q152">
        <f>VLOOKUP(O152,pxcopeau,D152-2010,FALSE)*N152</f>
        <v>0</v>
      </c>
      <c r="R152" t="str">
        <f t="shared" si="134"/>
        <v>BA pour UKAD</v>
      </c>
      <c r="S152">
        <f t="shared" si="135"/>
        <v>2.8125</v>
      </c>
      <c r="T152">
        <f t="shared" si="136"/>
        <v>0</v>
      </c>
      <c r="U152" t="str">
        <f t="shared" si="137"/>
        <v>Circ 1</v>
      </c>
      <c r="V152">
        <f>VLOOKUP(U152,pxmassif,$D152-2010,FALSE)*S152</f>
        <v>2.8125</v>
      </c>
      <c r="W152">
        <f>VLOOKUP(U152,pxcopeau,$D152-2010,FALSE)*T152</f>
        <v>0</v>
      </c>
      <c r="X152" t="str">
        <f t="shared" si="138"/>
        <v>Client</v>
      </c>
      <c r="Y152">
        <f t="shared" si="139"/>
        <v>0</v>
      </c>
      <c r="Z152">
        <f t="shared" si="140"/>
        <v>0</v>
      </c>
      <c r="AA152" t="str">
        <f t="shared" si="141"/>
        <v>Circ 1</v>
      </c>
      <c r="AB152">
        <f>VLOOKUP(AA152,pxmassif,$D152-2010,FALSE)*Y152</f>
        <v>0</v>
      </c>
      <c r="AC152">
        <f>VLOOKUP(AA152,pxcopeau,$D152-2010,FALSE)*Z152</f>
        <v>0</v>
      </c>
      <c r="AD152">
        <f t="shared" si="148"/>
        <v>5.4375</v>
      </c>
      <c r="AE152">
        <f t="shared" si="149"/>
        <v>0</v>
      </c>
      <c r="AF152">
        <f t="shared" si="150"/>
        <v>2.625</v>
      </c>
      <c r="AG152">
        <f t="shared" si="151"/>
        <v>2.8125</v>
      </c>
      <c r="AH152">
        <f t="shared" si="152"/>
        <v>0</v>
      </c>
      <c r="AI152">
        <f t="shared" si="153"/>
        <v>5.4375</v>
      </c>
      <c r="AJ152">
        <f t="shared" si="154"/>
        <v>0</v>
      </c>
      <c r="AK152">
        <f t="shared" si="142"/>
        <v>5.5897500000000004</v>
      </c>
      <c r="AL152">
        <f t="shared" si="143"/>
        <v>64.960250000000002</v>
      </c>
      <c r="AM152">
        <f>IFERROR(MIN(AL152,VLOOKUP(CONCATENATE(C152,"-to lingot"),negchutes,D152-2007,FALSE)),0)</f>
        <v>0</v>
      </c>
      <c r="AN152">
        <f t="shared" si="155"/>
        <v>64.960250000000002</v>
      </c>
      <c r="AO152" t="str">
        <f t="shared" si="156"/>
        <v>Circ 1</v>
      </c>
      <c r="AP152">
        <f>IF(AR152=0,0,IFERROR(VLOOKUP(CONCATENATE($C152,"-to massif"),negchutes,$D152-2007,FALSE),0)*AM152/AR152)</f>
        <v>0</v>
      </c>
      <c r="AQ152">
        <f>IF(AR152=0,0,IFERROR(VLOOKUP(CONCATENATE($C152,"-to copeaux"),negchutes,$D152-2007,FALSE),0)*AM152/AR152)</f>
        <v>0</v>
      </c>
      <c r="AR152">
        <f>IFERROR(VLOOKUP(CONCATENATE($C152,"-to lingot"),negchutes,$D152-2007,FALSE),0)</f>
        <v>0</v>
      </c>
      <c r="AS152">
        <f>IF(AR152=0,0,AP152*VLOOKUP(CONCATENATE($C152,"-ac massif"),negchutes,$D152-2007,FALSE))</f>
        <v>0</v>
      </c>
      <c r="AT152">
        <f>IF(AR152=0,0,AQ152*VLOOKUP(CONCATENATE($C152,"-ac copeaux"),negchutes,$D152-2007,FALSE))</f>
        <v>0</v>
      </c>
      <c r="AU152">
        <f t="shared" si="144"/>
        <v>86.641125000000002</v>
      </c>
      <c r="AV152">
        <f>IFERROR(VLOOKUP(CONCATENATE(C152,"-px lingot"),negchutes,D152-2007,FALSE),0)*AM152</f>
        <v>0</v>
      </c>
      <c r="AW152">
        <f>AN152*VLOOKUP("Marché 1",pxlingot,D152-2010,FALSE)</f>
        <v>1624.0062500000001</v>
      </c>
      <c r="AX152">
        <f t="shared" si="157"/>
        <v>24.247305102764003</v>
      </c>
      <c r="AY152" t="str">
        <f t="shared" si="145"/>
        <v>VAR</v>
      </c>
      <c r="AZ152">
        <f t="shared" si="146"/>
        <v>2.6985000000000001</v>
      </c>
      <c r="BA152">
        <f>MAX(VLOOKUP(VLOOKUP(C152,descmarche,28,FALSE),pxlingot,D152-2010,FALSE),AX152)</f>
        <v>24.247305102764003</v>
      </c>
      <c r="BB152">
        <f t="shared" si="158"/>
        <v>1710.6473750000002</v>
      </c>
      <c r="BC152" t="str">
        <f t="shared" si="147"/>
        <v>Circ 1</v>
      </c>
    </row>
    <row r="153" spans="1:55" x14ac:dyDescent="0.25">
      <c r="A153" s="5" t="s">
        <v>69</v>
      </c>
      <c r="B153" s="4" t="s">
        <v>47</v>
      </c>
      <c r="C153" t="str">
        <f t="shared" si="101"/>
        <v>EcoTi-06</v>
      </c>
      <c r="D153">
        <v>2017</v>
      </c>
      <c r="E153">
        <v>150</v>
      </c>
      <c r="F153" t="str">
        <f t="shared" si="126"/>
        <v>Médical</v>
      </c>
      <c r="G153" t="str">
        <f t="shared" si="127"/>
        <v>Stainless source EcoTi</v>
      </c>
      <c r="H153" t="str">
        <f t="shared" si="103"/>
        <v>Aval UKAD</v>
      </c>
      <c r="I153">
        <f t="shared" si="128"/>
        <v>23</v>
      </c>
      <c r="J153">
        <f t="shared" si="129"/>
        <v>1411</v>
      </c>
      <c r="K153">
        <f t="shared" si="159"/>
        <v>150</v>
      </c>
      <c r="L153">
        <f t="shared" si="130"/>
        <v>211.65</v>
      </c>
      <c r="M153">
        <f t="shared" si="131"/>
        <v>7.875</v>
      </c>
      <c r="N153">
        <f t="shared" si="132"/>
        <v>0</v>
      </c>
      <c r="O153" t="str">
        <f t="shared" si="133"/>
        <v>Circ 1</v>
      </c>
      <c r="P153">
        <f>VLOOKUP(O153,pxmassif,D153-2010,FALSE)*M153</f>
        <v>7.875</v>
      </c>
      <c r="Q153">
        <f>VLOOKUP(O153,pxcopeau,D153-2010,FALSE)*N153</f>
        <v>0</v>
      </c>
      <c r="R153" t="str">
        <f t="shared" si="134"/>
        <v>BA pour UKAD</v>
      </c>
      <c r="S153">
        <f t="shared" si="135"/>
        <v>8.4375</v>
      </c>
      <c r="T153">
        <f t="shared" si="136"/>
        <v>0</v>
      </c>
      <c r="U153" t="str">
        <f t="shared" si="137"/>
        <v>Circ 1</v>
      </c>
      <c r="V153">
        <f>VLOOKUP(U153,pxmassif,$D153-2010,FALSE)*S153</f>
        <v>8.4375</v>
      </c>
      <c r="W153">
        <f>VLOOKUP(U153,pxcopeau,$D153-2010,FALSE)*T153</f>
        <v>0</v>
      </c>
      <c r="X153" t="str">
        <f t="shared" si="138"/>
        <v>Client</v>
      </c>
      <c r="Y153">
        <f t="shared" si="139"/>
        <v>0</v>
      </c>
      <c r="Z153">
        <f t="shared" si="140"/>
        <v>0</v>
      </c>
      <c r="AA153" t="str">
        <f t="shared" si="141"/>
        <v>Circ 1</v>
      </c>
      <c r="AB153">
        <f>VLOOKUP(AA153,pxmassif,$D153-2010,FALSE)*Y153</f>
        <v>0</v>
      </c>
      <c r="AC153">
        <f>VLOOKUP(AA153,pxcopeau,$D153-2010,FALSE)*Z153</f>
        <v>0</v>
      </c>
      <c r="AD153">
        <f t="shared" si="148"/>
        <v>16.3125</v>
      </c>
      <c r="AE153">
        <f t="shared" si="149"/>
        <v>0</v>
      </c>
      <c r="AF153">
        <f t="shared" si="150"/>
        <v>7.875</v>
      </c>
      <c r="AG153">
        <f t="shared" si="151"/>
        <v>8.4375</v>
      </c>
      <c r="AH153">
        <f t="shared" si="152"/>
        <v>0</v>
      </c>
      <c r="AI153">
        <f t="shared" si="153"/>
        <v>16.3125</v>
      </c>
      <c r="AJ153">
        <f t="shared" si="154"/>
        <v>0</v>
      </c>
      <c r="AK153">
        <f t="shared" si="142"/>
        <v>16.76925</v>
      </c>
      <c r="AL153">
        <f t="shared" si="143"/>
        <v>194.88074999999998</v>
      </c>
      <c r="AM153">
        <f>IFERROR(MIN(AL153,VLOOKUP(CONCATENATE(C153,"-to lingot"),negchutes,D153-2007,FALSE)),0)</f>
        <v>0</v>
      </c>
      <c r="AN153">
        <f t="shared" si="155"/>
        <v>194.88074999999998</v>
      </c>
      <c r="AO153" t="str">
        <f t="shared" si="156"/>
        <v>Circ 1</v>
      </c>
      <c r="AP153">
        <f>IF(AR153=0,0,IFERROR(VLOOKUP(CONCATENATE($C153,"-to massif"),negchutes,$D153-2007,FALSE),0)*AM153/AR153)</f>
        <v>0</v>
      </c>
      <c r="AQ153">
        <f>IF(AR153=0,0,IFERROR(VLOOKUP(CONCATENATE($C153,"-to copeaux"),negchutes,$D153-2007,FALSE),0)*AM153/AR153)</f>
        <v>0</v>
      </c>
      <c r="AR153">
        <f>IFERROR(VLOOKUP(CONCATENATE($C153,"-to lingot"),negchutes,$D153-2007,FALSE),0)</f>
        <v>0</v>
      </c>
      <c r="AS153">
        <f>IF(AR153=0,0,AP153*VLOOKUP(CONCATENATE($C153,"-ac massif"),negchutes,$D153-2007,FALSE))</f>
        <v>0</v>
      </c>
      <c r="AT153">
        <f>IF(AR153=0,0,AQ153*VLOOKUP(CONCATENATE($C153,"-ac copeaux"),negchutes,$D153-2007,FALSE))</f>
        <v>0</v>
      </c>
      <c r="AU153">
        <f t="shared" si="144"/>
        <v>259.92337499999996</v>
      </c>
      <c r="AV153">
        <f>IFERROR(VLOOKUP(CONCATENATE(C153,"-px lingot"),negchutes,D153-2007,FALSE),0)*AM153</f>
        <v>0</v>
      </c>
      <c r="AW153">
        <f>AN153*VLOOKUP("Marché 1",pxlingot,D153-2010,FALSE)</f>
        <v>4872.0187499999993</v>
      </c>
      <c r="AX153">
        <f t="shared" si="157"/>
        <v>24.247305102763999</v>
      </c>
      <c r="AY153" t="str">
        <f t="shared" si="145"/>
        <v>VAR</v>
      </c>
      <c r="AZ153">
        <f t="shared" si="146"/>
        <v>8.0954999999999995</v>
      </c>
      <c r="BA153">
        <f>MAX(VLOOKUP(VLOOKUP(C153,descmarche,28,FALSE),pxlingot,D153-2010,FALSE),AX153)</f>
        <v>24.247305102763999</v>
      </c>
      <c r="BB153">
        <f t="shared" si="158"/>
        <v>5131.9421250000005</v>
      </c>
      <c r="BC153" t="str">
        <f t="shared" si="147"/>
        <v>Circ 1</v>
      </c>
    </row>
    <row r="154" spans="1:55" x14ac:dyDescent="0.25">
      <c r="A154" s="5" t="s">
        <v>69</v>
      </c>
      <c r="B154" s="4" t="s">
        <v>47</v>
      </c>
      <c r="C154" t="str">
        <f t="shared" si="101"/>
        <v>EcoTi-06</v>
      </c>
      <c r="D154">
        <v>2018</v>
      </c>
      <c r="E154">
        <v>300</v>
      </c>
      <c r="F154" t="str">
        <f t="shared" si="126"/>
        <v>Médical</v>
      </c>
      <c r="G154" t="str">
        <f t="shared" si="127"/>
        <v>Stainless source EcoTi</v>
      </c>
      <c r="H154" t="str">
        <f t="shared" si="103"/>
        <v>Aval UKAD</v>
      </c>
      <c r="I154">
        <f t="shared" si="128"/>
        <v>23</v>
      </c>
      <c r="J154">
        <f t="shared" si="129"/>
        <v>1411</v>
      </c>
      <c r="K154">
        <f t="shared" si="159"/>
        <v>300</v>
      </c>
      <c r="L154">
        <f t="shared" si="130"/>
        <v>423.3</v>
      </c>
      <c r="M154">
        <f t="shared" si="131"/>
        <v>15.75</v>
      </c>
      <c r="N154">
        <f t="shared" si="132"/>
        <v>0</v>
      </c>
      <c r="O154" t="str">
        <f t="shared" si="133"/>
        <v>Circ 1</v>
      </c>
      <c r="P154">
        <f>VLOOKUP(O154,pxmassif,D154-2010,FALSE)*M154</f>
        <v>15.75</v>
      </c>
      <c r="Q154">
        <f>VLOOKUP(O154,pxcopeau,D154-2010,FALSE)*N154</f>
        <v>0</v>
      </c>
      <c r="R154" t="str">
        <f t="shared" si="134"/>
        <v>BA pour UKAD</v>
      </c>
      <c r="S154">
        <f t="shared" si="135"/>
        <v>16.875</v>
      </c>
      <c r="T154">
        <f t="shared" si="136"/>
        <v>0</v>
      </c>
      <c r="U154" t="str">
        <f t="shared" si="137"/>
        <v>Circ 1</v>
      </c>
      <c r="V154">
        <f>VLOOKUP(U154,pxmassif,$D154-2010,FALSE)*S154</f>
        <v>16.875</v>
      </c>
      <c r="W154">
        <f>VLOOKUP(U154,pxcopeau,$D154-2010,FALSE)*T154</f>
        <v>0</v>
      </c>
      <c r="X154" t="str">
        <f t="shared" si="138"/>
        <v>Client</v>
      </c>
      <c r="Y154">
        <f t="shared" si="139"/>
        <v>0</v>
      </c>
      <c r="Z154">
        <f t="shared" si="140"/>
        <v>0</v>
      </c>
      <c r="AA154" t="str">
        <f t="shared" si="141"/>
        <v>Circ 1</v>
      </c>
      <c r="AB154">
        <f>VLOOKUP(AA154,pxmassif,$D154-2010,FALSE)*Y154</f>
        <v>0</v>
      </c>
      <c r="AC154">
        <f>VLOOKUP(AA154,pxcopeau,$D154-2010,FALSE)*Z154</f>
        <v>0</v>
      </c>
      <c r="AD154">
        <f t="shared" si="148"/>
        <v>32.625</v>
      </c>
      <c r="AE154">
        <f t="shared" si="149"/>
        <v>0</v>
      </c>
      <c r="AF154">
        <f t="shared" si="150"/>
        <v>15.75</v>
      </c>
      <c r="AG154">
        <f t="shared" si="151"/>
        <v>16.875</v>
      </c>
      <c r="AH154">
        <f t="shared" si="152"/>
        <v>0</v>
      </c>
      <c r="AI154">
        <f t="shared" si="153"/>
        <v>32.625</v>
      </c>
      <c r="AJ154">
        <f t="shared" si="154"/>
        <v>0</v>
      </c>
      <c r="AK154">
        <f t="shared" si="142"/>
        <v>33.538499999999999</v>
      </c>
      <c r="AL154">
        <f t="shared" si="143"/>
        <v>389.76149999999996</v>
      </c>
      <c r="AM154">
        <f>IFERROR(MIN(AL154,VLOOKUP(CONCATENATE(C154,"-to lingot"),negchutes,D154-2007,FALSE)),0)</f>
        <v>0</v>
      </c>
      <c r="AN154">
        <f t="shared" si="155"/>
        <v>389.76149999999996</v>
      </c>
      <c r="AO154" t="str">
        <f t="shared" si="156"/>
        <v>Circ 1</v>
      </c>
      <c r="AP154">
        <f>IF(AR154=0,0,IFERROR(VLOOKUP(CONCATENATE($C154,"-to massif"),negchutes,$D154-2007,FALSE),0)*AM154/AR154)</f>
        <v>0</v>
      </c>
      <c r="AQ154">
        <f>IF(AR154=0,0,IFERROR(VLOOKUP(CONCATENATE($C154,"-to copeaux"),negchutes,$D154-2007,FALSE),0)*AM154/AR154)</f>
        <v>0</v>
      </c>
      <c r="AR154">
        <f>IFERROR(VLOOKUP(CONCATENATE($C154,"-to lingot"),negchutes,$D154-2007,FALSE),0)</f>
        <v>0</v>
      </c>
      <c r="AS154">
        <f>IF(AR154=0,0,AP154*VLOOKUP(CONCATENATE($C154,"-ac massif"),negchutes,$D154-2007,FALSE))</f>
        <v>0</v>
      </c>
      <c r="AT154">
        <f>IF(AR154=0,0,AQ154*VLOOKUP(CONCATENATE($C154,"-ac copeaux"),negchutes,$D154-2007,FALSE))</f>
        <v>0</v>
      </c>
      <c r="AU154">
        <f t="shared" si="144"/>
        <v>519.84674999999993</v>
      </c>
      <c r="AV154">
        <f>IFERROR(VLOOKUP(CONCATENATE(C154,"-px lingot"),negchutes,D154-2007,FALSE),0)*AM154</f>
        <v>0</v>
      </c>
      <c r="AW154">
        <f>AN154*VLOOKUP("Marché 1",pxlingot,D154-2010,FALSE)</f>
        <v>9744.0374999999985</v>
      </c>
      <c r="AX154">
        <f t="shared" si="157"/>
        <v>24.247305102763999</v>
      </c>
      <c r="AY154" t="str">
        <f t="shared" si="145"/>
        <v>VAR</v>
      </c>
      <c r="AZ154">
        <f t="shared" si="146"/>
        <v>16.190999999999999</v>
      </c>
      <c r="BA154">
        <f>MAX(VLOOKUP(VLOOKUP(C154,descmarche,28,FALSE),pxlingot,D154-2010,FALSE),AX154)</f>
        <v>24.247305102763999</v>
      </c>
      <c r="BB154">
        <f t="shared" si="158"/>
        <v>10263.884250000001</v>
      </c>
      <c r="BC154" t="str">
        <f t="shared" si="147"/>
        <v>Circ 1</v>
      </c>
    </row>
    <row r="155" spans="1:55" x14ac:dyDescent="0.25">
      <c r="A155" s="5" t="s">
        <v>69</v>
      </c>
      <c r="B155" s="4" t="s">
        <v>47</v>
      </c>
      <c r="C155" t="str">
        <f t="shared" si="101"/>
        <v>EcoTi-06</v>
      </c>
      <c r="D155">
        <v>2019</v>
      </c>
      <c r="E155">
        <v>300</v>
      </c>
      <c r="F155" t="str">
        <f t="shared" si="126"/>
        <v>Médical</v>
      </c>
      <c r="G155" t="str">
        <f t="shared" si="127"/>
        <v>Stainless source EcoTi</v>
      </c>
      <c r="H155" t="str">
        <f t="shared" si="103"/>
        <v>Aval UKAD</v>
      </c>
      <c r="I155">
        <f t="shared" si="128"/>
        <v>23</v>
      </c>
      <c r="J155">
        <f t="shared" si="129"/>
        <v>1411</v>
      </c>
      <c r="K155">
        <f t="shared" si="159"/>
        <v>300</v>
      </c>
      <c r="L155">
        <f t="shared" si="130"/>
        <v>423.3</v>
      </c>
      <c r="M155">
        <f t="shared" si="131"/>
        <v>15.75</v>
      </c>
      <c r="N155">
        <f t="shared" si="132"/>
        <v>0</v>
      </c>
      <c r="O155" t="str">
        <f t="shared" si="133"/>
        <v>Circ 1</v>
      </c>
      <c r="P155">
        <f>VLOOKUP(O155,pxmassif,D155-2010,FALSE)*M155</f>
        <v>15.75</v>
      </c>
      <c r="Q155">
        <f>VLOOKUP(O155,pxcopeau,D155-2010,FALSE)*N155</f>
        <v>0</v>
      </c>
      <c r="R155" t="str">
        <f t="shared" si="134"/>
        <v>BA pour UKAD</v>
      </c>
      <c r="S155">
        <f t="shared" si="135"/>
        <v>16.875</v>
      </c>
      <c r="T155">
        <f t="shared" si="136"/>
        <v>0</v>
      </c>
      <c r="U155" t="str">
        <f t="shared" si="137"/>
        <v>Circ 1</v>
      </c>
      <c r="V155">
        <f>VLOOKUP(U155,pxmassif,$D155-2010,FALSE)*S155</f>
        <v>16.875</v>
      </c>
      <c r="W155">
        <f>VLOOKUP(U155,pxcopeau,$D155-2010,FALSE)*T155</f>
        <v>0</v>
      </c>
      <c r="X155" t="str">
        <f t="shared" si="138"/>
        <v>Client</v>
      </c>
      <c r="Y155">
        <f t="shared" si="139"/>
        <v>0</v>
      </c>
      <c r="Z155">
        <f t="shared" si="140"/>
        <v>0</v>
      </c>
      <c r="AA155" t="str">
        <f t="shared" si="141"/>
        <v>Circ 1</v>
      </c>
      <c r="AB155">
        <f>VLOOKUP(AA155,pxmassif,$D155-2010,FALSE)*Y155</f>
        <v>0</v>
      </c>
      <c r="AC155">
        <f>VLOOKUP(AA155,pxcopeau,$D155-2010,FALSE)*Z155</f>
        <v>0</v>
      </c>
      <c r="AD155">
        <f t="shared" si="148"/>
        <v>32.625</v>
      </c>
      <c r="AE155">
        <f t="shared" si="149"/>
        <v>0</v>
      </c>
      <c r="AF155">
        <f t="shared" si="150"/>
        <v>15.75</v>
      </c>
      <c r="AG155">
        <f t="shared" si="151"/>
        <v>16.875</v>
      </c>
      <c r="AH155">
        <f t="shared" si="152"/>
        <v>0</v>
      </c>
      <c r="AI155">
        <f t="shared" si="153"/>
        <v>32.625</v>
      </c>
      <c r="AJ155">
        <f t="shared" si="154"/>
        <v>0</v>
      </c>
      <c r="AK155">
        <f t="shared" si="142"/>
        <v>33.538499999999999</v>
      </c>
      <c r="AL155">
        <f t="shared" si="143"/>
        <v>389.76149999999996</v>
      </c>
      <c r="AM155">
        <f>IFERROR(MIN(AL155,VLOOKUP(CONCATENATE(C155,"-to lingot"),negchutes,D155-2007,FALSE)),0)</f>
        <v>0</v>
      </c>
      <c r="AN155">
        <f t="shared" si="155"/>
        <v>389.76149999999996</v>
      </c>
      <c r="AO155" t="str">
        <f t="shared" si="156"/>
        <v>Circ 1</v>
      </c>
      <c r="AP155">
        <f>IF(AR155=0,0,IFERROR(VLOOKUP(CONCATENATE($C155,"-to massif"),negchutes,$D155-2007,FALSE),0)*AM155/AR155)</f>
        <v>0</v>
      </c>
      <c r="AQ155">
        <f>IF(AR155=0,0,IFERROR(VLOOKUP(CONCATENATE($C155,"-to copeaux"),negchutes,$D155-2007,FALSE),0)*AM155/AR155)</f>
        <v>0</v>
      </c>
      <c r="AR155">
        <f>IFERROR(VLOOKUP(CONCATENATE($C155,"-to lingot"),negchutes,$D155-2007,FALSE),0)</f>
        <v>0</v>
      </c>
      <c r="AS155">
        <f>IF(AR155=0,0,AP155*VLOOKUP(CONCATENATE($C155,"-ac massif"),negchutes,$D155-2007,FALSE))</f>
        <v>0</v>
      </c>
      <c r="AT155">
        <f>IF(AR155=0,0,AQ155*VLOOKUP(CONCATENATE($C155,"-ac copeaux"),negchutes,$D155-2007,FALSE))</f>
        <v>0</v>
      </c>
      <c r="AU155">
        <f t="shared" si="144"/>
        <v>519.84674999999993</v>
      </c>
      <c r="AV155">
        <f>IFERROR(VLOOKUP(CONCATENATE(C155,"-px lingot"),negchutes,D155-2007,FALSE),0)*AM155</f>
        <v>0</v>
      </c>
      <c r="AW155">
        <f>AN155*VLOOKUP("Marché 1",pxlingot,D155-2010,FALSE)</f>
        <v>9744.0374999999985</v>
      </c>
      <c r="AX155">
        <f t="shared" si="157"/>
        <v>24.247305102763999</v>
      </c>
      <c r="AY155" t="str">
        <f t="shared" si="145"/>
        <v>VAR</v>
      </c>
      <c r="AZ155">
        <f t="shared" si="146"/>
        <v>16.190999999999999</v>
      </c>
      <c r="BA155">
        <f>MAX(VLOOKUP(VLOOKUP(C155,descmarche,28,FALSE),pxlingot,D155-2010,FALSE),AX155)</f>
        <v>24.247305102763999</v>
      </c>
      <c r="BB155">
        <f t="shared" si="158"/>
        <v>10263.884250000001</v>
      </c>
      <c r="BC155" t="str">
        <f t="shared" si="147"/>
        <v>Circ 1</v>
      </c>
    </row>
    <row r="156" spans="1:55" x14ac:dyDescent="0.25">
      <c r="A156" s="5" t="s">
        <v>69</v>
      </c>
      <c r="B156" s="4" t="s">
        <v>47</v>
      </c>
      <c r="C156" t="str">
        <f t="shared" si="101"/>
        <v>EcoTi-06</v>
      </c>
      <c r="D156">
        <v>2020</v>
      </c>
      <c r="E156">
        <v>300</v>
      </c>
      <c r="F156" t="str">
        <f t="shared" si="126"/>
        <v>Médical</v>
      </c>
      <c r="G156" t="str">
        <f t="shared" si="127"/>
        <v>Stainless source EcoTi</v>
      </c>
      <c r="H156" t="str">
        <f t="shared" si="103"/>
        <v>Aval UKAD</v>
      </c>
      <c r="I156">
        <f t="shared" si="128"/>
        <v>23</v>
      </c>
      <c r="J156">
        <f t="shared" si="129"/>
        <v>1411</v>
      </c>
      <c r="K156">
        <f t="shared" si="159"/>
        <v>300</v>
      </c>
      <c r="L156">
        <f t="shared" si="130"/>
        <v>423.3</v>
      </c>
      <c r="M156">
        <f t="shared" si="131"/>
        <v>15.75</v>
      </c>
      <c r="N156">
        <f t="shared" si="132"/>
        <v>0</v>
      </c>
      <c r="O156" t="str">
        <f t="shared" si="133"/>
        <v>Circ 1</v>
      </c>
      <c r="P156">
        <f>VLOOKUP(O156,pxmassif,D156-2010,FALSE)*M156</f>
        <v>15.75</v>
      </c>
      <c r="Q156">
        <f>VLOOKUP(O156,pxcopeau,D156-2010,FALSE)*N156</f>
        <v>0</v>
      </c>
      <c r="R156" t="str">
        <f t="shared" si="134"/>
        <v>BA pour UKAD</v>
      </c>
      <c r="S156">
        <f t="shared" si="135"/>
        <v>16.875</v>
      </c>
      <c r="T156">
        <f t="shared" si="136"/>
        <v>0</v>
      </c>
      <c r="U156" t="str">
        <f t="shared" si="137"/>
        <v>Circ 1</v>
      </c>
      <c r="V156">
        <f>VLOOKUP(U156,pxmassif,$D156-2010,FALSE)*S156</f>
        <v>16.875</v>
      </c>
      <c r="W156">
        <f>VLOOKUP(U156,pxcopeau,$D156-2010,FALSE)*T156</f>
        <v>0</v>
      </c>
      <c r="X156" t="str">
        <f t="shared" si="138"/>
        <v>Client</v>
      </c>
      <c r="Y156">
        <f t="shared" si="139"/>
        <v>0</v>
      </c>
      <c r="Z156">
        <f t="shared" si="140"/>
        <v>0</v>
      </c>
      <c r="AA156" t="str">
        <f t="shared" si="141"/>
        <v>Circ 1</v>
      </c>
      <c r="AB156">
        <f>VLOOKUP(AA156,pxmassif,$D156-2010,FALSE)*Y156</f>
        <v>0</v>
      </c>
      <c r="AC156">
        <f>VLOOKUP(AA156,pxcopeau,$D156-2010,FALSE)*Z156</f>
        <v>0</v>
      </c>
      <c r="AD156">
        <f t="shared" si="148"/>
        <v>32.625</v>
      </c>
      <c r="AE156">
        <f t="shared" si="149"/>
        <v>0</v>
      </c>
      <c r="AF156">
        <f t="shared" si="150"/>
        <v>15.75</v>
      </c>
      <c r="AG156">
        <f t="shared" si="151"/>
        <v>16.875</v>
      </c>
      <c r="AH156">
        <f t="shared" si="152"/>
        <v>0</v>
      </c>
      <c r="AI156">
        <f t="shared" si="153"/>
        <v>32.625</v>
      </c>
      <c r="AJ156">
        <f t="shared" si="154"/>
        <v>0</v>
      </c>
      <c r="AK156">
        <f t="shared" si="142"/>
        <v>33.538499999999999</v>
      </c>
      <c r="AL156">
        <f t="shared" si="143"/>
        <v>389.76149999999996</v>
      </c>
      <c r="AM156">
        <f>IFERROR(MIN(AL156,VLOOKUP(CONCATENATE(C156,"-to lingot"),negchutes,D156-2007,FALSE)),0)</f>
        <v>0</v>
      </c>
      <c r="AN156">
        <f t="shared" si="155"/>
        <v>389.76149999999996</v>
      </c>
      <c r="AO156" t="str">
        <f t="shared" si="156"/>
        <v>Circ 1</v>
      </c>
      <c r="AP156">
        <f>IF(AR156=0,0,IFERROR(VLOOKUP(CONCATENATE($C156,"-to massif"),negchutes,$D156-2007,FALSE),0)*AM156/AR156)</f>
        <v>0</v>
      </c>
      <c r="AQ156">
        <f>IF(AR156=0,0,IFERROR(VLOOKUP(CONCATENATE($C156,"-to copeaux"),negchutes,$D156-2007,FALSE),0)*AM156/AR156)</f>
        <v>0</v>
      </c>
      <c r="AR156">
        <f>IFERROR(VLOOKUP(CONCATENATE($C156,"-to lingot"),negchutes,$D156-2007,FALSE),0)</f>
        <v>0</v>
      </c>
      <c r="AS156">
        <f>IF(AR156=0,0,AP156*VLOOKUP(CONCATENATE($C156,"-ac massif"),negchutes,$D156-2007,FALSE))</f>
        <v>0</v>
      </c>
      <c r="AT156">
        <f>IF(AR156=0,0,AQ156*VLOOKUP(CONCATENATE($C156,"-ac copeaux"),negchutes,$D156-2007,FALSE))</f>
        <v>0</v>
      </c>
      <c r="AU156">
        <f t="shared" si="144"/>
        <v>519.84674999999993</v>
      </c>
      <c r="AV156">
        <f>IFERROR(VLOOKUP(CONCATENATE(C156,"-px lingot"),negchutes,D156-2007,FALSE),0)*AM156</f>
        <v>0</v>
      </c>
      <c r="AW156">
        <f>AN156*VLOOKUP("Marché 1",pxlingot,D156-2010,FALSE)</f>
        <v>9744.0374999999985</v>
      </c>
      <c r="AX156">
        <f t="shared" si="157"/>
        <v>24.247305102763999</v>
      </c>
      <c r="AY156" t="str">
        <f t="shared" si="145"/>
        <v>VAR</v>
      </c>
      <c r="AZ156">
        <f t="shared" si="146"/>
        <v>16.190999999999999</v>
      </c>
      <c r="BA156">
        <f>MAX(VLOOKUP(VLOOKUP(C156,descmarche,28,FALSE),pxlingot,D156-2010,FALSE),AX156)</f>
        <v>24.247305102763999</v>
      </c>
      <c r="BB156">
        <f t="shared" si="158"/>
        <v>10263.884250000001</v>
      </c>
      <c r="BC156" t="str">
        <f t="shared" si="147"/>
        <v>Circ 1</v>
      </c>
    </row>
    <row r="157" spans="1:55" x14ac:dyDescent="0.25">
      <c r="A157" s="5" t="s">
        <v>69</v>
      </c>
      <c r="B157" s="4" t="s">
        <v>47</v>
      </c>
      <c r="C157" t="str">
        <f t="shared" si="101"/>
        <v>EcoTi-06</v>
      </c>
      <c r="D157">
        <v>2021</v>
      </c>
      <c r="E157">
        <v>300</v>
      </c>
      <c r="F157" t="str">
        <f t="shared" si="126"/>
        <v>Médical</v>
      </c>
      <c r="G157" t="str">
        <f t="shared" si="127"/>
        <v>Stainless source EcoTi</v>
      </c>
      <c r="H157" t="str">
        <f t="shared" si="103"/>
        <v>Aval UKAD</v>
      </c>
      <c r="I157">
        <f t="shared" si="128"/>
        <v>23</v>
      </c>
      <c r="J157">
        <f t="shared" si="129"/>
        <v>1411</v>
      </c>
      <c r="K157">
        <f t="shared" si="159"/>
        <v>300</v>
      </c>
      <c r="L157">
        <f t="shared" si="130"/>
        <v>423.3</v>
      </c>
      <c r="M157">
        <f t="shared" si="131"/>
        <v>15.75</v>
      </c>
      <c r="N157">
        <f t="shared" si="132"/>
        <v>0</v>
      </c>
      <c r="O157" t="str">
        <f t="shared" si="133"/>
        <v>Circ 1</v>
      </c>
      <c r="P157">
        <f>VLOOKUP(O157,pxmassif,D157-2010,FALSE)*M157</f>
        <v>15.75</v>
      </c>
      <c r="Q157">
        <f>VLOOKUP(O157,pxcopeau,D157-2010,FALSE)*N157</f>
        <v>0</v>
      </c>
      <c r="R157" t="str">
        <f t="shared" si="134"/>
        <v>BA pour UKAD</v>
      </c>
      <c r="S157">
        <f t="shared" si="135"/>
        <v>16.875</v>
      </c>
      <c r="T157">
        <f t="shared" si="136"/>
        <v>0</v>
      </c>
      <c r="U157" t="str">
        <f t="shared" si="137"/>
        <v>Circ 1</v>
      </c>
      <c r="V157">
        <f>VLOOKUP(U157,pxmassif,$D157-2010,FALSE)*S157</f>
        <v>16.875</v>
      </c>
      <c r="W157">
        <f>VLOOKUP(U157,pxcopeau,$D157-2010,FALSE)*T157</f>
        <v>0</v>
      </c>
      <c r="X157" t="str">
        <f t="shared" si="138"/>
        <v>Client</v>
      </c>
      <c r="Y157">
        <f t="shared" si="139"/>
        <v>0</v>
      </c>
      <c r="Z157">
        <f t="shared" si="140"/>
        <v>0</v>
      </c>
      <c r="AA157" t="str">
        <f t="shared" si="141"/>
        <v>Circ 1</v>
      </c>
      <c r="AB157">
        <f>VLOOKUP(AA157,pxmassif,$D157-2010,FALSE)*Y157</f>
        <v>0</v>
      </c>
      <c r="AC157">
        <f>VLOOKUP(AA157,pxcopeau,$D157-2010,FALSE)*Z157</f>
        <v>0</v>
      </c>
      <c r="AD157">
        <f t="shared" si="148"/>
        <v>32.625</v>
      </c>
      <c r="AE157">
        <f t="shared" si="149"/>
        <v>0</v>
      </c>
      <c r="AF157">
        <f t="shared" si="150"/>
        <v>15.75</v>
      </c>
      <c r="AG157">
        <f t="shared" si="151"/>
        <v>16.875</v>
      </c>
      <c r="AH157">
        <f t="shared" si="152"/>
        <v>0</v>
      </c>
      <c r="AI157">
        <f t="shared" si="153"/>
        <v>32.625</v>
      </c>
      <c r="AJ157">
        <f t="shared" si="154"/>
        <v>0</v>
      </c>
      <c r="AK157">
        <f t="shared" si="142"/>
        <v>33.538499999999999</v>
      </c>
      <c r="AL157">
        <f t="shared" si="143"/>
        <v>389.76149999999996</v>
      </c>
      <c r="AM157">
        <f>IFERROR(MIN(AL157,VLOOKUP(CONCATENATE(C157,"-to lingot"),negchutes,D157-2007,FALSE)),0)</f>
        <v>0</v>
      </c>
      <c r="AN157">
        <f t="shared" si="155"/>
        <v>389.76149999999996</v>
      </c>
      <c r="AO157" t="str">
        <f t="shared" si="156"/>
        <v>Circ 1</v>
      </c>
      <c r="AP157">
        <f>IF(AR157=0,0,IFERROR(VLOOKUP(CONCATENATE($C157,"-to massif"),negchutes,$D157-2007,FALSE),0)*AM157/AR157)</f>
        <v>0</v>
      </c>
      <c r="AQ157">
        <f>IF(AR157=0,0,IFERROR(VLOOKUP(CONCATENATE($C157,"-to copeaux"),negchutes,$D157-2007,FALSE),0)*AM157/AR157)</f>
        <v>0</v>
      </c>
      <c r="AR157">
        <f>IFERROR(VLOOKUP(CONCATENATE($C157,"-to lingot"),negchutes,$D157-2007,FALSE),0)</f>
        <v>0</v>
      </c>
      <c r="AS157">
        <f>IF(AR157=0,0,AP157*VLOOKUP(CONCATENATE($C157,"-ac massif"),negchutes,$D157-2007,FALSE))</f>
        <v>0</v>
      </c>
      <c r="AT157">
        <f>IF(AR157=0,0,AQ157*VLOOKUP(CONCATENATE($C157,"-ac copeaux"),negchutes,$D157-2007,FALSE))</f>
        <v>0</v>
      </c>
      <c r="AU157">
        <f t="shared" si="144"/>
        <v>519.84674999999993</v>
      </c>
      <c r="AV157">
        <f>IFERROR(VLOOKUP(CONCATENATE(C157,"-px lingot"),negchutes,D157-2007,FALSE),0)*AM157</f>
        <v>0</v>
      </c>
      <c r="AW157">
        <f>AN157*VLOOKUP("Marché 1",pxlingot,D157-2010,FALSE)</f>
        <v>9744.0374999999985</v>
      </c>
      <c r="AX157">
        <f t="shared" si="157"/>
        <v>24.247305102763999</v>
      </c>
      <c r="AY157" t="str">
        <f t="shared" si="145"/>
        <v>VAR</v>
      </c>
      <c r="AZ157">
        <f t="shared" si="146"/>
        <v>16.190999999999999</v>
      </c>
      <c r="BA157">
        <f>MAX(VLOOKUP(VLOOKUP(C157,descmarche,28,FALSE),pxlingot,D157-2010,FALSE),AX157)</f>
        <v>24.247305102763999</v>
      </c>
      <c r="BB157">
        <f t="shared" si="158"/>
        <v>10263.884250000001</v>
      </c>
      <c r="BC157" t="str">
        <f t="shared" si="147"/>
        <v>Circ 1</v>
      </c>
    </row>
    <row r="158" spans="1:55" x14ac:dyDescent="0.25">
      <c r="A158" s="5" t="s">
        <v>69</v>
      </c>
      <c r="B158" s="4" t="s">
        <v>47</v>
      </c>
      <c r="C158" t="str">
        <f t="shared" si="101"/>
        <v>EcoTi-06</v>
      </c>
      <c r="D158">
        <v>2022</v>
      </c>
      <c r="E158">
        <v>300</v>
      </c>
      <c r="F158" t="str">
        <f t="shared" si="126"/>
        <v>Médical</v>
      </c>
      <c r="G158" t="str">
        <f t="shared" si="127"/>
        <v>Stainless source EcoTi</v>
      </c>
      <c r="H158" t="str">
        <f t="shared" si="103"/>
        <v>Aval UKAD</v>
      </c>
      <c r="I158">
        <f t="shared" si="128"/>
        <v>23</v>
      </c>
      <c r="J158">
        <f t="shared" si="129"/>
        <v>1411</v>
      </c>
      <c r="K158">
        <f t="shared" si="159"/>
        <v>300</v>
      </c>
      <c r="L158">
        <f t="shared" si="130"/>
        <v>423.3</v>
      </c>
      <c r="M158">
        <f t="shared" si="131"/>
        <v>15.75</v>
      </c>
      <c r="N158">
        <f t="shared" si="132"/>
        <v>0</v>
      </c>
      <c r="O158" t="str">
        <f t="shared" si="133"/>
        <v>Circ 1</v>
      </c>
      <c r="P158">
        <f>VLOOKUP(O158,pxmassif,D158-2010,FALSE)*M158</f>
        <v>15.75</v>
      </c>
      <c r="Q158">
        <f>VLOOKUP(O158,pxcopeau,D158-2010,FALSE)*N158</f>
        <v>0</v>
      </c>
      <c r="R158" t="str">
        <f t="shared" si="134"/>
        <v>BA pour UKAD</v>
      </c>
      <c r="S158">
        <f t="shared" si="135"/>
        <v>16.875</v>
      </c>
      <c r="T158">
        <f t="shared" si="136"/>
        <v>0</v>
      </c>
      <c r="U158" t="str">
        <f t="shared" si="137"/>
        <v>Circ 1</v>
      </c>
      <c r="V158">
        <f>VLOOKUP(U158,pxmassif,$D158-2010,FALSE)*S158</f>
        <v>16.875</v>
      </c>
      <c r="W158">
        <f>VLOOKUP(U158,pxcopeau,$D158-2010,FALSE)*T158</f>
        <v>0</v>
      </c>
      <c r="X158" t="str">
        <f t="shared" si="138"/>
        <v>Client</v>
      </c>
      <c r="Y158">
        <f t="shared" si="139"/>
        <v>0</v>
      </c>
      <c r="Z158">
        <f t="shared" si="140"/>
        <v>0</v>
      </c>
      <c r="AA158" t="str">
        <f t="shared" si="141"/>
        <v>Circ 1</v>
      </c>
      <c r="AB158">
        <f>VLOOKUP(AA158,pxmassif,$D158-2010,FALSE)*Y158</f>
        <v>0</v>
      </c>
      <c r="AC158">
        <f>VLOOKUP(AA158,pxcopeau,$D158-2010,FALSE)*Z158</f>
        <v>0</v>
      </c>
      <c r="AD158">
        <f t="shared" si="148"/>
        <v>32.625</v>
      </c>
      <c r="AE158">
        <f t="shared" si="149"/>
        <v>0</v>
      </c>
      <c r="AF158">
        <f t="shared" si="150"/>
        <v>15.75</v>
      </c>
      <c r="AG158">
        <f t="shared" si="151"/>
        <v>16.875</v>
      </c>
      <c r="AH158">
        <f t="shared" si="152"/>
        <v>0</v>
      </c>
      <c r="AI158">
        <f t="shared" si="153"/>
        <v>32.625</v>
      </c>
      <c r="AJ158">
        <f t="shared" si="154"/>
        <v>0</v>
      </c>
      <c r="AK158">
        <f t="shared" si="142"/>
        <v>33.538499999999999</v>
      </c>
      <c r="AL158">
        <f t="shared" si="143"/>
        <v>389.76149999999996</v>
      </c>
      <c r="AM158">
        <f>IFERROR(MIN(AL158,VLOOKUP(CONCATENATE(C158,"-to lingot"),negchutes,D158-2007,FALSE)),0)</f>
        <v>0</v>
      </c>
      <c r="AN158">
        <f t="shared" si="155"/>
        <v>389.76149999999996</v>
      </c>
      <c r="AO158" t="str">
        <f t="shared" si="156"/>
        <v>Circ 1</v>
      </c>
      <c r="AP158">
        <f>IF(AR158=0,0,IFERROR(VLOOKUP(CONCATENATE($C158,"-to massif"),negchutes,$D158-2007,FALSE),0)*AM158/AR158)</f>
        <v>0</v>
      </c>
      <c r="AQ158">
        <f>IF(AR158=0,0,IFERROR(VLOOKUP(CONCATENATE($C158,"-to copeaux"),negchutes,$D158-2007,FALSE),0)*AM158/AR158)</f>
        <v>0</v>
      </c>
      <c r="AR158">
        <f>IFERROR(VLOOKUP(CONCATENATE($C158,"-to lingot"),negchutes,$D158-2007,FALSE),0)</f>
        <v>0</v>
      </c>
      <c r="AS158">
        <f>IF(AR158=0,0,AP158*VLOOKUP(CONCATENATE($C158,"-ac massif"),negchutes,$D158-2007,FALSE))</f>
        <v>0</v>
      </c>
      <c r="AT158">
        <f>IF(AR158=0,0,AQ158*VLOOKUP(CONCATENATE($C158,"-ac copeaux"),negchutes,$D158-2007,FALSE))</f>
        <v>0</v>
      </c>
      <c r="AU158">
        <f t="shared" si="144"/>
        <v>519.84674999999993</v>
      </c>
      <c r="AV158">
        <f>IFERROR(VLOOKUP(CONCATENATE(C158,"-px lingot"),negchutes,D158-2007,FALSE),0)*AM158</f>
        <v>0</v>
      </c>
      <c r="AW158">
        <f>AN158*VLOOKUP("Marché 1",pxlingot,D158-2010,FALSE)</f>
        <v>9744.0374999999985</v>
      </c>
      <c r="AX158">
        <f t="shared" si="157"/>
        <v>24.247305102763999</v>
      </c>
      <c r="AY158" t="str">
        <f t="shared" si="145"/>
        <v>VAR</v>
      </c>
      <c r="AZ158">
        <f t="shared" si="146"/>
        <v>16.190999999999999</v>
      </c>
      <c r="BA158">
        <f>MAX(VLOOKUP(VLOOKUP(C158,descmarche,28,FALSE),pxlingot,D158-2010,FALSE),AX158)</f>
        <v>24.247305102763999</v>
      </c>
      <c r="BB158">
        <f t="shared" si="158"/>
        <v>10263.884250000001</v>
      </c>
      <c r="BC158" t="str">
        <f t="shared" si="147"/>
        <v>Circ 1</v>
      </c>
    </row>
    <row r="159" spans="1:55" x14ac:dyDescent="0.25">
      <c r="A159" s="5" t="s">
        <v>69</v>
      </c>
      <c r="B159" s="4" t="s">
        <v>47</v>
      </c>
      <c r="C159" t="str">
        <f t="shared" si="101"/>
        <v>EcoTi-06</v>
      </c>
      <c r="D159">
        <v>2023</v>
      </c>
      <c r="E159">
        <v>300</v>
      </c>
      <c r="F159" t="str">
        <f t="shared" si="126"/>
        <v>Médical</v>
      </c>
      <c r="G159" t="str">
        <f t="shared" si="127"/>
        <v>Stainless source EcoTi</v>
      </c>
      <c r="H159" t="str">
        <f t="shared" si="103"/>
        <v>Aval UKAD</v>
      </c>
      <c r="I159">
        <f t="shared" si="128"/>
        <v>23</v>
      </c>
      <c r="J159">
        <f t="shared" si="129"/>
        <v>1411</v>
      </c>
      <c r="K159">
        <f t="shared" si="159"/>
        <v>300</v>
      </c>
      <c r="L159">
        <f t="shared" si="130"/>
        <v>423.3</v>
      </c>
      <c r="M159">
        <f t="shared" si="131"/>
        <v>15.75</v>
      </c>
      <c r="N159">
        <f t="shared" si="132"/>
        <v>0</v>
      </c>
      <c r="O159" t="str">
        <f t="shared" si="133"/>
        <v>Circ 1</v>
      </c>
      <c r="P159">
        <f>VLOOKUP(O159,pxmassif,D159-2010,FALSE)*M159</f>
        <v>15.75</v>
      </c>
      <c r="Q159">
        <f>VLOOKUP(O159,pxcopeau,D159-2010,FALSE)*N159</f>
        <v>0</v>
      </c>
      <c r="R159" t="str">
        <f t="shared" si="134"/>
        <v>BA pour UKAD</v>
      </c>
      <c r="S159">
        <f t="shared" si="135"/>
        <v>16.875</v>
      </c>
      <c r="T159">
        <f t="shared" si="136"/>
        <v>0</v>
      </c>
      <c r="U159" t="str">
        <f t="shared" si="137"/>
        <v>Circ 1</v>
      </c>
      <c r="V159">
        <f>VLOOKUP(U159,pxmassif,$D159-2010,FALSE)*S159</f>
        <v>16.875</v>
      </c>
      <c r="W159">
        <f>VLOOKUP(U159,pxcopeau,$D159-2010,FALSE)*T159</f>
        <v>0</v>
      </c>
      <c r="X159" t="str">
        <f t="shared" si="138"/>
        <v>Client</v>
      </c>
      <c r="Y159">
        <f t="shared" si="139"/>
        <v>0</v>
      </c>
      <c r="Z159">
        <f t="shared" si="140"/>
        <v>0</v>
      </c>
      <c r="AA159" t="str">
        <f t="shared" si="141"/>
        <v>Circ 1</v>
      </c>
      <c r="AB159">
        <f>VLOOKUP(AA159,pxmassif,$D159-2010,FALSE)*Y159</f>
        <v>0</v>
      </c>
      <c r="AC159">
        <f>VLOOKUP(AA159,pxcopeau,$D159-2010,FALSE)*Z159</f>
        <v>0</v>
      </c>
      <c r="AD159">
        <f t="shared" si="148"/>
        <v>32.625</v>
      </c>
      <c r="AE159">
        <f t="shared" si="149"/>
        <v>0</v>
      </c>
      <c r="AF159">
        <f t="shared" si="150"/>
        <v>15.75</v>
      </c>
      <c r="AG159">
        <f t="shared" si="151"/>
        <v>16.875</v>
      </c>
      <c r="AH159">
        <f t="shared" si="152"/>
        <v>0</v>
      </c>
      <c r="AI159">
        <f t="shared" si="153"/>
        <v>32.625</v>
      </c>
      <c r="AJ159">
        <f t="shared" si="154"/>
        <v>0</v>
      </c>
      <c r="AK159">
        <f t="shared" si="142"/>
        <v>33.538499999999999</v>
      </c>
      <c r="AL159">
        <f t="shared" si="143"/>
        <v>389.76149999999996</v>
      </c>
      <c r="AM159">
        <f>IFERROR(MIN(AL159,VLOOKUP(CONCATENATE(C159,"-to lingot"),negchutes,D159-2007,FALSE)),0)</f>
        <v>0</v>
      </c>
      <c r="AN159">
        <f t="shared" si="155"/>
        <v>389.76149999999996</v>
      </c>
      <c r="AO159" t="str">
        <f t="shared" si="156"/>
        <v>Circ 1</v>
      </c>
      <c r="AP159">
        <f>IF(AR159=0,0,IFERROR(VLOOKUP(CONCATENATE($C159,"-to massif"),negchutes,$D159-2007,FALSE),0)*AM159/AR159)</f>
        <v>0</v>
      </c>
      <c r="AQ159">
        <f>IF(AR159=0,0,IFERROR(VLOOKUP(CONCATENATE($C159,"-to copeaux"),negchutes,$D159-2007,FALSE),0)*AM159/AR159)</f>
        <v>0</v>
      </c>
      <c r="AR159">
        <f>IFERROR(VLOOKUP(CONCATENATE($C159,"-to lingot"),negchutes,$D159-2007,FALSE),0)</f>
        <v>0</v>
      </c>
      <c r="AS159">
        <f>IF(AR159=0,0,AP159*VLOOKUP(CONCATENATE($C159,"-ac massif"),negchutes,$D159-2007,FALSE))</f>
        <v>0</v>
      </c>
      <c r="AT159">
        <f>IF(AR159=0,0,AQ159*VLOOKUP(CONCATENATE($C159,"-ac copeaux"),negchutes,$D159-2007,FALSE))</f>
        <v>0</v>
      </c>
      <c r="AU159">
        <f t="shared" si="144"/>
        <v>519.84674999999993</v>
      </c>
      <c r="AV159">
        <f>IFERROR(VLOOKUP(CONCATENATE(C159,"-px lingot"),negchutes,D159-2007,FALSE),0)*AM159</f>
        <v>0</v>
      </c>
      <c r="AW159">
        <f>AN159*VLOOKUP("Marché 1",pxlingot,D159-2010,FALSE)</f>
        <v>9744.0374999999985</v>
      </c>
      <c r="AX159">
        <f t="shared" si="157"/>
        <v>24.247305102763999</v>
      </c>
      <c r="AY159" t="str">
        <f t="shared" si="145"/>
        <v>VAR</v>
      </c>
      <c r="AZ159">
        <f t="shared" si="146"/>
        <v>16.190999999999999</v>
      </c>
      <c r="BA159">
        <f>MAX(VLOOKUP(VLOOKUP(C159,descmarche,28,FALSE),pxlingot,D159-2010,FALSE),AX159)</f>
        <v>24.247305102763999</v>
      </c>
      <c r="BB159">
        <f t="shared" si="158"/>
        <v>10263.884250000001</v>
      </c>
      <c r="BC159" t="str">
        <f t="shared" si="147"/>
        <v>Circ 1</v>
      </c>
    </row>
    <row r="160" spans="1:55" x14ac:dyDescent="0.25">
      <c r="A160" s="5" t="s">
        <v>69</v>
      </c>
      <c r="B160" s="4" t="s">
        <v>47</v>
      </c>
      <c r="C160" t="str">
        <f t="shared" ref="C160:C192" si="160">CONCATENATE(A160,"-",B160)</f>
        <v>EcoTi-06</v>
      </c>
      <c r="D160">
        <v>2024</v>
      </c>
      <c r="E160">
        <v>300</v>
      </c>
      <c r="F160" t="str">
        <f t="shared" si="126"/>
        <v>Médical</v>
      </c>
      <c r="G160" t="str">
        <f t="shared" si="127"/>
        <v>Stainless source EcoTi</v>
      </c>
      <c r="H160" t="str">
        <f t="shared" si="103"/>
        <v>Aval UKAD</v>
      </c>
      <c r="I160">
        <f t="shared" si="128"/>
        <v>23</v>
      </c>
      <c r="J160">
        <f t="shared" si="129"/>
        <v>1411</v>
      </c>
      <c r="K160">
        <f t="shared" si="159"/>
        <v>300</v>
      </c>
      <c r="L160">
        <f t="shared" si="130"/>
        <v>423.3</v>
      </c>
      <c r="M160">
        <f t="shared" si="131"/>
        <v>15.75</v>
      </c>
      <c r="N160">
        <f t="shared" si="132"/>
        <v>0</v>
      </c>
      <c r="O160" t="str">
        <f t="shared" si="133"/>
        <v>Circ 1</v>
      </c>
      <c r="P160">
        <f>VLOOKUP(O160,pxmassif,D160-2010,FALSE)*M160</f>
        <v>15.75</v>
      </c>
      <c r="Q160">
        <f>VLOOKUP(O160,pxcopeau,D160-2010,FALSE)*N160</f>
        <v>0</v>
      </c>
      <c r="R160" t="str">
        <f t="shared" si="134"/>
        <v>BA pour UKAD</v>
      </c>
      <c r="S160">
        <f t="shared" si="135"/>
        <v>16.875</v>
      </c>
      <c r="T160">
        <f t="shared" si="136"/>
        <v>0</v>
      </c>
      <c r="U160" t="str">
        <f t="shared" si="137"/>
        <v>Circ 1</v>
      </c>
      <c r="V160">
        <f>VLOOKUP(U160,pxmassif,$D160-2010,FALSE)*S160</f>
        <v>16.875</v>
      </c>
      <c r="W160">
        <f>VLOOKUP(U160,pxcopeau,$D160-2010,FALSE)*T160</f>
        <v>0</v>
      </c>
      <c r="X160" t="str">
        <f t="shared" si="138"/>
        <v>Client</v>
      </c>
      <c r="Y160">
        <f t="shared" si="139"/>
        <v>0</v>
      </c>
      <c r="Z160">
        <f t="shared" si="140"/>
        <v>0</v>
      </c>
      <c r="AA160" t="str">
        <f t="shared" si="141"/>
        <v>Circ 1</v>
      </c>
      <c r="AB160">
        <f>VLOOKUP(AA160,pxmassif,$D160-2010,FALSE)*Y160</f>
        <v>0</v>
      </c>
      <c r="AC160">
        <f>VLOOKUP(AA160,pxcopeau,$D160-2010,FALSE)*Z160</f>
        <v>0</v>
      </c>
      <c r="AD160">
        <f t="shared" si="148"/>
        <v>32.625</v>
      </c>
      <c r="AE160">
        <f t="shared" si="149"/>
        <v>0</v>
      </c>
      <c r="AF160">
        <f t="shared" si="150"/>
        <v>15.75</v>
      </c>
      <c r="AG160">
        <f t="shared" si="151"/>
        <v>16.875</v>
      </c>
      <c r="AH160">
        <f t="shared" si="152"/>
        <v>0</v>
      </c>
      <c r="AI160">
        <f t="shared" si="153"/>
        <v>32.625</v>
      </c>
      <c r="AJ160">
        <f t="shared" si="154"/>
        <v>0</v>
      </c>
      <c r="AK160">
        <f t="shared" si="142"/>
        <v>33.538499999999999</v>
      </c>
      <c r="AL160">
        <f t="shared" si="143"/>
        <v>389.76149999999996</v>
      </c>
      <c r="AM160">
        <f>IFERROR(MIN(AL160,VLOOKUP(CONCATENATE(C160,"-to lingot"),negchutes,D160-2007,FALSE)),0)</f>
        <v>0</v>
      </c>
      <c r="AN160">
        <f t="shared" si="155"/>
        <v>389.76149999999996</v>
      </c>
      <c r="AO160" t="str">
        <f t="shared" si="156"/>
        <v>Circ 1</v>
      </c>
      <c r="AP160">
        <f>IF(AR160=0,0,IFERROR(VLOOKUP(CONCATENATE($C160,"-to massif"),negchutes,$D160-2007,FALSE),0)*AM160/AR160)</f>
        <v>0</v>
      </c>
      <c r="AQ160">
        <f>IF(AR160=0,0,IFERROR(VLOOKUP(CONCATENATE($C160,"-to copeaux"),negchutes,$D160-2007,FALSE),0)*AM160/AR160)</f>
        <v>0</v>
      </c>
      <c r="AR160">
        <f>IFERROR(VLOOKUP(CONCATENATE($C160,"-to lingot"),negchutes,$D160-2007,FALSE),0)</f>
        <v>0</v>
      </c>
      <c r="AS160">
        <f>IF(AR160=0,0,AP160*VLOOKUP(CONCATENATE($C160,"-ac massif"),negchutes,$D160-2007,FALSE))</f>
        <v>0</v>
      </c>
      <c r="AT160">
        <f>IF(AR160=0,0,AQ160*VLOOKUP(CONCATENATE($C160,"-ac copeaux"),negchutes,$D160-2007,FALSE))</f>
        <v>0</v>
      </c>
      <c r="AU160">
        <f t="shared" si="144"/>
        <v>519.84674999999993</v>
      </c>
      <c r="AV160">
        <f>IFERROR(VLOOKUP(CONCATENATE(C160,"-px lingot"),negchutes,D160-2007,FALSE),0)*AM160</f>
        <v>0</v>
      </c>
      <c r="AW160">
        <f>AN160*VLOOKUP("Marché 1",pxlingot,D160-2010,FALSE)</f>
        <v>9744.0374999999985</v>
      </c>
      <c r="AX160">
        <f t="shared" si="157"/>
        <v>24.247305102763999</v>
      </c>
      <c r="AY160" t="str">
        <f t="shared" si="145"/>
        <v>VAR</v>
      </c>
      <c r="AZ160">
        <f t="shared" si="146"/>
        <v>16.190999999999999</v>
      </c>
      <c r="BA160">
        <f>MAX(VLOOKUP(VLOOKUP(C160,descmarche,28,FALSE),pxlingot,D160-2010,FALSE),AX160)</f>
        <v>24.247305102763999</v>
      </c>
      <c r="BB160">
        <f t="shared" si="158"/>
        <v>10263.884250000001</v>
      </c>
      <c r="BC160" t="str">
        <f t="shared" si="147"/>
        <v>Circ 1</v>
      </c>
    </row>
    <row r="161" spans="1:55" x14ac:dyDescent="0.25">
      <c r="A161" s="5" t="s">
        <v>69</v>
      </c>
      <c r="B161" s="4" t="s">
        <v>48</v>
      </c>
      <c r="C161" t="str">
        <f t="shared" si="160"/>
        <v>EcoTi-07</v>
      </c>
      <c r="D161">
        <v>2016</v>
      </c>
      <c r="E161">
        <v>490</v>
      </c>
      <c r="F161" t="str">
        <f t="shared" si="126"/>
        <v>TA6V Corrosion</v>
      </c>
      <c r="G161" t="str">
        <f t="shared" si="127"/>
        <v>Corrosion TA6V source EcoTi</v>
      </c>
      <c r="H161">
        <f t="shared" si="103"/>
        <v>0</v>
      </c>
      <c r="I161">
        <f t="shared" si="128"/>
        <v>5</v>
      </c>
      <c r="J161">
        <f t="shared" si="129"/>
        <v>1210</v>
      </c>
      <c r="K161">
        <f t="shared" si="159"/>
        <v>490</v>
      </c>
      <c r="L161">
        <f t="shared" si="130"/>
        <v>592.9</v>
      </c>
      <c r="M161">
        <f t="shared" si="131"/>
        <v>25.724999999999994</v>
      </c>
      <c r="N161">
        <f t="shared" si="132"/>
        <v>28.297499999999999</v>
      </c>
      <c r="O161" t="str">
        <f t="shared" si="133"/>
        <v>Circ 1</v>
      </c>
      <c r="P161">
        <f>VLOOKUP(O161,pxmassif,D161-2010,FALSE)*M161</f>
        <v>25.724999999999994</v>
      </c>
      <c r="Q161">
        <f>VLOOKUP(O161,pxcopeau,D161-2010,FALSE)*N161</f>
        <v>16.9785</v>
      </c>
      <c r="R161" t="str">
        <f t="shared" si="134"/>
        <v>SO</v>
      </c>
      <c r="S161">
        <f t="shared" si="135"/>
        <v>0</v>
      </c>
      <c r="T161">
        <f t="shared" si="136"/>
        <v>0</v>
      </c>
      <c r="U161" t="str">
        <f t="shared" si="137"/>
        <v>Circ 1</v>
      </c>
      <c r="V161">
        <f>VLOOKUP(U161,pxmassif,$D161-2010,FALSE)*S161</f>
        <v>0</v>
      </c>
      <c r="W161">
        <f>VLOOKUP(U161,pxcopeau,$D161-2010,FALSE)*T161</f>
        <v>0</v>
      </c>
      <c r="X161" t="str">
        <f t="shared" si="138"/>
        <v>SO</v>
      </c>
      <c r="Y161">
        <f t="shared" si="139"/>
        <v>0</v>
      </c>
      <c r="Z161">
        <f t="shared" si="140"/>
        <v>0</v>
      </c>
      <c r="AA161" t="str">
        <f t="shared" si="141"/>
        <v>Circ 1</v>
      </c>
      <c r="AB161">
        <f>VLOOKUP(AA161,pxmassif,$D161-2010,FALSE)*Y161</f>
        <v>0</v>
      </c>
      <c r="AC161">
        <f>VLOOKUP(AA161,pxcopeau,$D161-2010,FALSE)*Z161</f>
        <v>0</v>
      </c>
      <c r="AD161">
        <f t="shared" si="148"/>
        <v>25.724999999999994</v>
      </c>
      <c r="AE161">
        <f t="shared" si="149"/>
        <v>28.297499999999999</v>
      </c>
      <c r="AF161">
        <f t="shared" si="150"/>
        <v>54.022499999999994</v>
      </c>
      <c r="AG161">
        <f t="shared" si="151"/>
        <v>0</v>
      </c>
      <c r="AH161">
        <f t="shared" si="152"/>
        <v>0</v>
      </c>
      <c r="AI161">
        <f t="shared" si="153"/>
        <v>25.724999999999994</v>
      </c>
      <c r="AJ161">
        <f t="shared" si="154"/>
        <v>28.297499999999999</v>
      </c>
      <c r="AK161">
        <f t="shared" si="142"/>
        <v>50.696257499999994</v>
      </c>
      <c r="AL161">
        <f t="shared" si="143"/>
        <v>542.20374249999998</v>
      </c>
      <c r="AM161">
        <f>IFERROR(MIN(AL161,VLOOKUP(CONCATENATE(C161,"-to lingot"),negchutes,D161-2007,FALSE)),0)</f>
        <v>406.47481574999995</v>
      </c>
      <c r="AN161">
        <f t="shared" si="155"/>
        <v>135.72892675000003</v>
      </c>
      <c r="AO161" t="str">
        <f t="shared" si="156"/>
        <v>Corrosion</v>
      </c>
      <c r="AP161">
        <f>IF(AR161=0,0,IFERROR(VLOOKUP(CONCATENATE($C161,"-to massif"),negchutes,$D161-2007,FALSE),0)*AM161/AR161)</f>
        <v>243.99149999999997</v>
      </c>
      <c r="AQ161">
        <f>IF(AR161=0,0,IFERROR(VLOOKUP(CONCATENATE($C161,"-to copeaux"),negchutes,$D161-2007,FALSE),0)*AM161/AR161)</f>
        <v>181.62375</v>
      </c>
      <c r="AR161">
        <f>IFERROR(VLOOKUP(CONCATENATE($C161,"-to lingot"),negchutes,$D161-2007,FALSE),0)</f>
        <v>406.47481574999995</v>
      </c>
      <c r="AS161">
        <f>IF(AR161=0,0,AP161*VLOOKUP(CONCATENATE($C161,"-ac massif"),negchutes,$D161-2007,FALSE))</f>
        <v>243.99149999999997</v>
      </c>
      <c r="AT161">
        <f>IF(AR161=0,0,AQ161*VLOOKUP(CONCATENATE($C161,"-ac copeaux"),negchutes,$D161-2007,FALSE))</f>
        <v>108.97425</v>
      </c>
      <c r="AU161">
        <f t="shared" si="144"/>
        <v>887.18450624999991</v>
      </c>
      <c r="AV161">
        <f>IFERROR(VLOOKUP(CONCATENATE(C161,"-px lingot"),negchutes,D161-2007,FALSE),0)*AM161</f>
        <v>6300.3596441249992</v>
      </c>
      <c r="AW161">
        <f>AN161*VLOOKUP("Marché 1",pxlingot,D161-2010,FALSE)</f>
        <v>3393.2231687500007</v>
      </c>
      <c r="AX161">
        <f t="shared" si="157"/>
        <v>17.845787348836229</v>
      </c>
      <c r="AY161" t="str">
        <f t="shared" si="145"/>
        <v>VAR</v>
      </c>
      <c r="AZ161">
        <f t="shared" si="146"/>
        <v>50.696257499999994</v>
      </c>
      <c r="BA161">
        <f>MAX(VLOOKUP(VLOOKUP(C161,descmarche,28,FALSE),pxlingot,D161-2010,FALSE),AX161)</f>
        <v>17.845787348836229</v>
      </c>
      <c r="BB161">
        <f t="shared" si="158"/>
        <v>10580.767319125</v>
      </c>
      <c r="BC161" t="str">
        <f t="shared" si="147"/>
        <v>Corrosion</v>
      </c>
    </row>
    <row r="162" spans="1:55" x14ac:dyDescent="0.25">
      <c r="A162" s="5" t="s">
        <v>69</v>
      </c>
      <c r="B162" s="4" t="s">
        <v>48</v>
      </c>
      <c r="C162" t="str">
        <f t="shared" si="160"/>
        <v>EcoTi-07</v>
      </c>
      <c r="D162">
        <v>2017</v>
      </c>
      <c r="E162">
        <v>490</v>
      </c>
      <c r="F162" t="str">
        <f t="shared" si="126"/>
        <v>TA6V Corrosion</v>
      </c>
      <c r="G162" t="str">
        <f t="shared" si="127"/>
        <v>Corrosion TA6V source EcoTi</v>
      </c>
      <c r="H162">
        <f t="shared" si="103"/>
        <v>0</v>
      </c>
      <c r="I162">
        <f t="shared" si="128"/>
        <v>5</v>
      </c>
      <c r="J162">
        <f t="shared" si="129"/>
        <v>1210</v>
      </c>
      <c r="K162">
        <f t="shared" si="159"/>
        <v>490</v>
      </c>
      <c r="L162">
        <f t="shared" si="130"/>
        <v>592.9</v>
      </c>
      <c r="M162">
        <f t="shared" si="131"/>
        <v>25.724999999999994</v>
      </c>
      <c r="N162">
        <f t="shared" si="132"/>
        <v>28.297499999999999</v>
      </c>
      <c r="O162" t="str">
        <f t="shared" si="133"/>
        <v>Circ 1</v>
      </c>
      <c r="P162">
        <f>VLOOKUP(O162,pxmassif,D162-2010,FALSE)*M162</f>
        <v>25.724999999999994</v>
      </c>
      <c r="Q162">
        <f>VLOOKUP(O162,pxcopeau,D162-2010,FALSE)*N162</f>
        <v>16.9785</v>
      </c>
      <c r="R162" t="str">
        <f t="shared" si="134"/>
        <v>SO</v>
      </c>
      <c r="S162">
        <f t="shared" si="135"/>
        <v>0</v>
      </c>
      <c r="T162">
        <f t="shared" si="136"/>
        <v>0</v>
      </c>
      <c r="U162" t="str">
        <f t="shared" si="137"/>
        <v>Circ 1</v>
      </c>
      <c r="V162">
        <f>VLOOKUP(U162,pxmassif,$D162-2010,FALSE)*S162</f>
        <v>0</v>
      </c>
      <c r="W162">
        <f>VLOOKUP(U162,pxcopeau,$D162-2010,FALSE)*T162</f>
        <v>0</v>
      </c>
      <c r="X162" t="str">
        <f t="shared" si="138"/>
        <v>SO</v>
      </c>
      <c r="Y162">
        <f t="shared" si="139"/>
        <v>0</v>
      </c>
      <c r="Z162">
        <f t="shared" si="140"/>
        <v>0</v>
      </c>
      <c r="AA162" t="str">
        <f t="shared" si="141"/>
        <v>Circ 1</v>
      </c>
      <c r="AB162">
        <f>VLOOKUP(AA162,pxmassif,$D162-2010,FALSE)*Y162</f>
        <v>0</v>
      </c>
      <c r="AC162">
        <f>VLOOKUP(AA162,pxcopeau,$D162-2010,FALSE)*Z162</f>
        <v>0</v>
      </c>
      <c r="AD162">
        <f t="shared" si="148"/>
        <v>25.724999999999994</v>
      </c>
      <c r="AE162">
        <f t="shared" si="149"/>
        <v>28.297499999999999</v>
      </c>
      <c r="AF162">
        <f t="shared" si="150"/>
        <v>54.022499999999994</v>
      </c>
      <c r="AG162">
        <f t="shared" si="151"/>
        <v>0</v>
      </c>
      <c r="AH162">
        <f t="shared" si="152"/>
        <v>0</v>
      </c>
      <c r="AI162">
        <f t="shared" si="153"/>
        <v>25.724999999999994</v>
      </c>
      <c r="AJ162">
        <f t="shared" si="154"/>
        <v>28.297499999999999</v>
      </c>
      <c r="AK162">
        <f t="shared" si="142"/>
        <v>50.696257499999994</v>
      </c>
      <c r="AL162">
        <f t="shared" si="143"/>
        <v>542.20374249999998</v>
      </c>
      <c r="AM162">
        <f>IFERROR(MIN(AL162,VLOOKUP(CONCATENATE(C162,"-to lingot"),negchutes,D162-2007,FALSE)),0)</f>
        <v>480.51714074999995</v>
      </c>
      <c r="AN162">
        <f t="shared" si="155"/>
        <v>61.686601750000023</v>
      </c>
      <c r="AO162" t="str">
        <f t="shared" si="156"/>
        <v>Corrosion</v>
      </c>
      <c r="AP162">
        <f>IF(AR162=0,0,IFERROR(VLOOKUP(CONCATENATE($C162,"-to massif"),negchutes,$D162-2007,FALSE),0)*AM162/AR162)</f>
        <v>282.31649999999996</v>
      </c>
      <c r="AQ162">
        <f>IF(AR162=0,0,IFERROR(VLOOKUP(CONCATENATE($C162,"-to copeaux"),negchutes,$D162-2007,FALSE),0)*AM162/AR162)</f>
        <v>222.04874999999998</v>
      </c>
      <c r="AR162">
        <f>IFERROR(VLOOKUP(CONCATENATE($C162,"-to lingot"),negchutes,$D162-2007,FALSE),0)</f>
        <v>480.51714074999995</v>
      </c>
      <c r="AS162">
        <f>IF(AR162=0,0,AP162*VLOOKUP(CONCATENATE($C162,"-ac massif"),negchutes,$D162-2007,FALSE))</f>
        <v>282.31649999999996</v>
      </c>
      <c r="AT162">
        <f>IF(AR162=0,0,AQ162*VLOOKUP(CONCATENATE($C162,"-ac copeaux"),negchutes,$D162-2007,FALSE))</f>
        <v>133.22924999999998</v>
      </c>
      <c r="AU162">
        <f t="shared" si="144"/>
        <v>887.18450624999991</v>
      </c>
      <c r="AV162">
        <f>IFERROR(VLOOKUP(CONCATENATE(C162,"-px lingot"),negchutes,D162-2007,FALSE),0)*AM162</f>
        <v>7448.0156816249992</v>
      </c>
      <c r="AW162">
        <f>AN162*VLOOKUP("Marché 1",pxlingot,D162-2010,FALSE)</f>
        <v>1542.1650437500007</v>
      </c>
      <c r="AX162">
        <f t="shared" si="157"/>
        <v>16.659411758517457</v>
      </c>
      <c r="AY162" t="str">
        <f t="shared" si="145"/>
        <v>VAR</v>
      </c>
      <c r="AZ162">
        <f t="shared" si="146"/>
        <v>50.696257499999994</v>
      </c>
      <c r="BA162">
        <f>MAX(VLOOKUP(VLOOKUP(C162,descmarche,28,FALSE),pxlingot,D162-2010,FALSE),AX162)</f>
        <v>17.5</v>
      </c>
      <c r="BB162">
        <f t="shared" si="158"/>
        <v>10375.75</v>
      </c>
      <c r="BC162" t="str">
        <f t="shared" si="147"/>
        <v>Corrosion</v>
      </c>
    </row>
    <row r="163" spans="1:55" x14ac:dyDescent="0.25">
      <c r="A163" s="5" t="s">
        <v>69</v>
      </c>
      <c r="B163" s="4" t="s">
        <v>48</v>
      </c>
      <c r="C163" t="str">
        <f t="shared" si="160"/>
        <v>EcoTi-07</v>
      </c>
      <c r="D163">
        <v>2018</v>
      </c>
      <c r="E163">
        <v>800</v>
      </c>
      <c r="F163" t="str">
        <f t="shared" si="126"/>
        <v>TA6V Corrosion</v>
      </c>
      <c r="G163" t="str">
        <f t="shared" ref="G163:G200" si="161">VLOOKUP($C163,descmarche,5,FALSE)</f>
        <v>Corrosion TA6V source EcoTi</v>
      </c>
      <c r="H163">
        <f t="shared" ref="H163:H200" si="162">VLOOKUP($C163,descmarche,6,FALSE)</f>
        <v>0</v>
      </c>
      <c r="I163">
        <f t="shared" ref="I163:I200" si="163">VLOOKUP($C163,descmarche,7,FALSE)</f>
        <v>5</v>
      </c>
      <c r="J163">
        <f t="shared" ref="J163:J200" si="164">VLOOKUP($C163,descmarche,9,FALSE)*1000</f>
        <v>1210</v>
      </c>
      <c r="K163">
        <f t="shared" ref="K163:K200" si="165">VLOOKUP($C163,descmarche,10,FALSE)*$E163</f>
        <v>800</v>
      </c>
      <c r="L163">
        <f t="shared" ref="L163:L200" si="166">VLOOKUP($C163,descmarche,11,FALSE)*$E163</f>
        <v>968</v>
      </c>
      <c r="M163">
        <f t="shared" ref="M163:M200" si="167">VLOOKUP($C163,descmarche,12,FALSE)*$E163*VLOOKUP("UKAD",recupchute,2,FALSE)</f>
        <v>41.999999999999993</v>
      </c>
      <c r="N163">
        <f t="shared" ref="N163:N200" si="168">VLOOKUP($C163,descmarche,13,FALSE)*$E163*VLOOKUP("UKAD",recupchute,3,FALSE)</f>
        <v>46.199999999999996</v>
      </c>
      <c r="O163" t="str">
        <f t="shared" ref="O163:O200" si="169">VLOOKUP($C163,descmarche,14,FALSE)</f>
        <v>Circ 1</v>
      </c>
      <c r="P163">
        <f>VLOOKUP(O163,pxmassif,D163-2010,FALSE)*M163</f>
        <v>41.999999999999993</v>
      </c>
      <c r="Q163">
        <f>VLOOKUP(O163,pxcopeau,D163-2010,FALSE)*N163</f>
        <v>27.719999999999995</v>
      </c>
      <c r="R163" t="str">
        <f t="shared" ref="R163:R191" si="170">VLOOKUP(C163,descmarche,22,FALSE)</f>
        <v>SO</v>
      </c>
      <c r="S163">
        <f t="shared" ref="S163:S200" si="171">VLOOKUP($C163,descmarche,15,FALSE)*$E163*VLOOKUP(R163,recupchute,2,FALSE)</f>
        <v>0</v>
      </c>
      <c r="T163">
        <f t="shared" ref="T163:T191" si="172">VLOOKUP($C163,descmarche,16,FALSE)*$E163*VLOOKUP(R163,recupchute,3,FALSE)</f>
        <v>0</v>
      </c>
      <c r="U163" t="str">
        <f t="shared" ref="U163:U200" si="173">VLOOKUP($C163,descmarche,17,FALSE)</f>
        <v>Circ 1</v>
      </c>
      <c r="V163">
        <f>VLOOKUP(U163,pxmassif,$D163-2010,FALSE)*S163</f>
        <v>0</v>
      </c>
      <c r="W163">
        <f>VLOOKUP(U163,pxcopeau,$D163-2010,FALSE)*T163</f>
        <v>0</v>
      </c>
      <c r="X163" t="str">
        <f t="shared" ref="X163:X191" si="174">VLOOKUP(C163,descmarche,23,FALSE)</f>
        <v>SO</v>
      </c>
      <c r="Y163">
        <f t="shared" ref="Y163:Y200" si="175">VLOOKUP($C163,descmarche,18,FALSE)*$E163*VLOOKUP(X163,recupchute,2,FALSE)</f>
        <v>0</v>
      </c>
      <c r="Z163">
        <f t="shared" ref="Z163:Z191" si="176">VLOOKUP($C163,descmarche,19,FALSE)*$E163*VLOOKUP(X163,recupchute,3,FALSE)</f>
        <v>0</v>
      </c>
      <c r="AA163" t="str">
        <f t="shared" ref="AA163:AA200" si="177">VLOOKUP($C163,descmarche,20,FALSE)</f>
        <v>Circ 1</v>
      </c>
      <c r="AB163">
        <f>VLOOKUP(AA163,pxmassif,$D163-2010,FALSE)*Y163</f>
        <v>0</v>
      </c>
      <c r="AC163">
        <f>VLOOKUP(AA163,pxcopeau,$D163-2010,FALSE)*Z163</f>
        <v>0</v>
      </c>
      <c r="AD163">
        <f t="shared" si="148"/>
        <v>41.999999999999993</v>
      </c>
      <c r="AE163">
        <f t="shared" si="149"/>
        <v>46.199999999999996</v>
      </c>
      <c r="AF163">
        <f t="shared" si="150"/>
        <v>88.199999999999989</v>
      </c>
      <c r="AG163">
        <f t="shared" si="151"/>
        <v>0</v>
      </c>
      <c r="AH163">
        <f t="shared" si="152"/>
        <v>0</v>
      </c>
      <c r="AI163">
        <f t="shared" si="153"/>
        <v>41.999999999999993</v>
      </c>
      <c r="AJ163">
        <f t="shared" si="154"/>
        <v>46.199999999999996</v>
      </c>
      <c r="AK163">
        <f t="shared" ref="AK163:AK191" si="178">VLOOKUP(C163,descmarche,26,FALSE)*E163</f>
        <v>82.76939999999999</v>
      </c>
      <c r="AL163">
        <f t="shared" ref="AL163:AL191" si="179">IF(A163="EcoTI",VLOOKUP(C163,descmarche,27,FALSE)*E163,0)</f>
        <v>885.23060000000009</v>
      </c>
      <c r="AM163">
        <f>IFERROR(MIN(AL163,VLOOKUP(CONCATENATE(C163,"-to lingot"),negchutes,D163-2007,FALSE)),0)</f>
        <v>511.55566575</v>
      </c>
      <c r="AN163">
        <f t="shared" si="155"/>
        <v>373.67493425000009</v>
      </c>
      <c r="AO163" t="str">
        <f t="shared" si="156"/>
        <v>Corrosion</v>
      </c>
      <c r="AP163">
        <f>IF(AR163=0,0,IFERROR(VLOOKUP(CONCATENATE($C163,"-to massif"),negchutes,$D163-2007,FALSE),0)*AM163/AR163)</f>
        <v>298.06649999999996</v>
      </c>
      <c r="AQ163">
        <f>IF(AR163=0,0,IFERROR(VLOOKUP(CONCATENATE($C163,"-to copeaux"),negchutes,$D163-2007,FALSE),0)*AM163/AR163)</f>
        <v>239.37375</v>
      </c>
      <c r="AR163">
        <f>IFERROR(VLOOKUP(CONCATENATE($C163,"-to lingot"),negchutes,$D163-2007,FALSE),0)</f>
        <v>511.55566575</v>
      </c>
      <c r="AS163">
        <f>IF(AR163=0,0,AP163*VLOOKUP(CONCATENATE($C163,"-ac massif"),negchutes,$D163-2007,FALSE))</f>
        <v>298.06649999999996</v>
      </c>
      <c r="AT163">
        <f>IF(AR163=0,0,AQ163*VLOOKUP(CONCATENATE($C163,"-ac copeaux"),negchutes,$D163-2007,FALSE))</f>
        <v>143.62424999999999</v>
      </c>
      <c r="AU163">
        <f t="shared" ref="AU163:AU191" si="180">AK163*VLOOKUP(AO163,pxlingot,D163-2010,FALSE)</f>
        <v>1448.4644999999998</v>
      </c>
      <c r="AV163">
        <f>IFERROR(VLOOKUP(CONCATENATE(C163,"-px lingot"),negchutes,D163-2007,FALSE),0)*AM163</f>
        <v>7929.112819125</v>
      </c>
      <c r="AW163">
        <f>AN163*VLOOKUP("Marché 1",pxlingot,D163-2010,FALSE)</f>
        <v>9341.873356250002</v>
      </c>
      <c r="AX163">
        <f t="shared" si="157"/>
        <v>19.338275491089878</v>
      </c>
      <c r="AY163" t="str">
        <f t="shared" ref="AY163:AY194" si="181">VLOOKUP(C163,descmarche,21,FALSE)</f>
        <v>VAR</v>
      </c>
      <c r="AZ163">
        <f t="shared" ref="AZ163:AZ194" si="182">M163*VLOOKUP(AY163,convchutes,2,FALSE)+N163*VLOOKUP(AY163,convchutes,3,FALSE)</f>
        <v>82.76939999999999</v>
      </c>
      <c r="BA163">
        <f>MAX(VLOOKUP(VLOOKUP(C163,descmarche,28,FALSE),pxlingot,D163-2010,FALSE),AX163)</f>
        <v>19.338275491089878</v>
      </c>
      <c r="BB163">
        <f t="shared" si="158"/>
        <v>18719.450675375003</v>
      </c>
      <c r="BC163" t="str">
        <f t="shared" ref="BC163:BC191" si="183">VLOOKUP(C163,descmarche,28,FALSE)</f>
        <v>Corrosion</v>
      </c>
    </row>
    <row r="164" spans="1:55" x14ac:dyDescent="0.25">
      <c r="A164" s="5" t="s">
        <v>69</v>
      </c>
      <c r="B164" s="4" t="s">
        <v>48</v>
      </c>
      <c r="C164" t="str">
        <f t="shared" si="160"/>
        <v>EcoTi-07</v>
      </c>
      <c r="D164">
        <v>2019</v>
      </c>
      <c r="E164">
        <v>840</v>
      </c>
      <c r="F164" t="str">
        <f t="shared" si="126"/>
        <v>TA6V Corrosion</v>
      </c>
      <c r="G164" t="str">
        <f t="shared" si="161"/>
        <v>Corrosion TA6V source EcoTi</v>
      </c>
      <c r="H164">
        <f t="shared" si="162"/>
        <v>0</v>
      </c>
      <c r="I164">
        <f t="shared" si="163"/>
        <v>5</v>
      </c>
      <c r="J164">
        <f t="shared" si="164"/>
        <v>1210</v>
      </c>
      <c r="K164">
        <f t="shared" si="165"/>
        <v>840</v>
      </c>
      <c r="L164">
        <f t="shared" si="166"/>
        <v>1016.4</v>
      </c>
      <c r="M164">
        <f t="shared" si="167"/>
        <v>44.099999999999994</v>
      </c>
      <c r="N164">
        <f t="shared" si="168"/>
        <v>48.51</v>
      </c>
      <c r="O164" t="str">
        <f t="shared" si="169"/>
        <v>Circ 1</v>
      </c>
      <c r="P164">
        <f>VLOOKUP(O164,pxmassif,D164-2010,FALSE)*M164</f>
        <v>44.099999999999994</v>
      </c>
      <c r="Q164">
        <f>VLOOKUP(O164,pxcopeau,D164-2010,FALSE)*N164</f>
        <v>29.105999999999998</v>
      </c>
      <c r="R164" t="str">
        <f t="shared" si="170"/>
        <v>SO</v>
      </c>
      <c r="S164">
        <f t="shared" si="171"/>
        <v>0</v>
      </c>
      <c r="T164">
        <f t="shared" si="172"/>
        <v>0</v>
      </c>
      <c r="U164" t="str">
        <f t="shared" si="173"/>
        <v>Circ 1</v>
      </c>
      <c r="V164">
        <f>VLOOKUP(U164,pxmassif,$D164-2010,FALSE)*S164</f>
        <v>0</v>
      </c>
      <c r="W164">
        <f>VLOOKUP(U164,pxcopeau,$D164-2010,FALSE)*T164</f>
        <v>0</v>
      </c>
      <c r="X164" t="str">
        <f t="shared" si="174"/>
        <v>SO</v>
      </c>
      <c r="Y164">
        <f t="shared" si="175"/>
        <v>0</v>
      </c>
      <c r="Z164">
        <f t="shared" si="176"/>
        <v>0</v>
      </c>
      <c r="AA164" t="str">
        <f t="shared" si="177"/>
        <v>Circ 1</v>
      </c>
      <c r="AB164">
        <f>VLOOKUP(AA164,pxmassif,$D164-2010,FALSE)*Y164</f>
        <v>0</v>
      </c>
      <c r="AC164">
        <f>VLOOKUP(AA164,pxcopeau,$D164-2010,FALSE)*Z164</f>
        <v>0</v>
      </c>
      <c r="AD164">
        <f t="shared" si="148"/>
        <v>44.099999999999994</v>
      </c>
      <c r="AE164">
        <f t="shared" si="149"/>
        <v>48.51</v>
      </c>
      <c r="AF164">
        <f t="shared" si="150"/>
        <v>92.609999999999985</v>
      </c>
      <c r="AG164">
        <f t="shared" si="151"/>
        <v>0</v>
      </c>
      <c r="AH164">
        <f t="shared" si="152"/>
        <v>0</v>
      </c>
      <c r="AI164">
        <f t="shared" si="153"/>
        <v>44.099999999999994</v>
      </c>
      <c r="AJ164">
        <f t="shared" si="154"/>
        <v>48.51</v>
      </c>
      <c r="AK164">
        <f t="shared" si="178"/>
        <v>86.907869999999988</v>
      </c>
      <c r="AL164">
        <f t="shared" si="179"/>
        <v>929.49213000000009</v>
      </c>
      <c r="AM164">
        <f>IFERROR(MIN(AL164,VLOOKUP(CONCATENATE(C164,"-to lingot"),negchutes,D164-2007,FALSE)),0)</f>
        <v>667.82769074999987</v>
      </c>
      <c r="AN164">
        <f t="shared" si="155"/>
        <v>261.66443925000021</v>
      </c>
      <c r="AO164" t="str">
        <f t="shared" ref="AO164:AO191" si="184">VLOOKUP(C164,descmarche,28,FALSE)</f>
        <v>Corrosion</v>
      </c>
      <c r="AP164">
        <f>IF(AR164=0,0,IFERROR(VLOOKUP(CONCATENATE($C164,"-to massif"),negchutes,$D164-2007,FALSE),0)*AM164/AR164)</f>
        <v>377.86649999999997</v>
      </c>
      <c r="AQ164">
        <f>IF(AR164=0,0,IFERROR(VLOOKUP(CONCATENATE($C164,"-to copeaux"),negchutes,$D164-2007,FALSE),0)*AM164/AR164)</f>
        <v>325.99874999999997</v>
      </c>
      <c r="AR164">
        <f>IFERROR(VLOOKUP(CONCATENATE($C164,"-to lingot"),negchutes,$D164-2007,FALSE),0)</f>
        <v>667.82769074999987</v>
      </c>
      <c r="AS164">
        <f>IF(AR164=0,0,AP164*VLOOKUP(CONCATENATE($C164,"-ac massif"),negchutes,$D164-2007,FALSE))</f>
        <v>377.86649999999997</v>
      </c>
      <c r="AT164">
        <f>IF(AR164=0,0,AQ164*VLOOKUP(CONCATENATE($C164,"-ac copeaux"),negchutes,$D164-2007,FALSE))</f>
        <v>195.59924999999998</v>
      </c>
      <c r="AU164">
        <f t="shared" si="180"/>
        <v>1520.8877249999998</v>
      </c>
      <c r="AV164">
        <f>IFERROR(VLOOKUP(CONCATENATE(C164,"-px lingot"),negchutes,D164-2007,FALSE),0)*AM164</f>
        <v>10351.329206624998</v>
      </c>
      <c r="AW164">
        <f>AN164*VLOOKUP("Marché 1",pxlingot,D164-2010,FALSE)</f>
        <v>6541.6109812500054</v>
      </c>
      <c r="AX164">
        <f t="shared" si="157"/>
        <v>18.116713806449233</v>
      </c>
      <c r="AY164" t="str">
        <f t="shared" si="181"/>
        <v>VAR</v>
      </c>
      <c r="AZ164">
        <f t="shared" si="182"/>
        <v>86.907869999999988</v>
      </c>
      <c r="BA164">
        <f>MAX(VLOOKUP(VLOOKUP(C164,descmarche,28,FALSE),pxlingot,D164-2010,FALSE),AX164)</f>
        <v>18.116713806449233</v>
      </c>
      <c r="BB164">
        <f t="shared" si="158"/>
        <v>18413.827912875</v>
      </c>
      <c r="BC164" t="str">
        <f t="shared" si="183"/>
        <v>Corrosion</v>
      </c>
    </row>
    <row r="165" spans="1:55" x14ac:dyDescent="0.25">
      <c r="A165" s="5" t="s">
        <v>69</v>
      </c>
      <c r="B165" s="4" t="s">
        <v>48</v>
      </c>
      <c r="C165" t="str">
        <f t="shared" si="160"/>
        <v>EcoTi-07</v>
      </c>
      <c r="D165">
        <v>2020</v>
      </c>
      <c r="E165">
        <v>875</v>
      </c>
      <c r="F165" t="str">
        <f t="shared" si="126"/>
        <v>TA6V Corrosion</v>
      </c>
      <c r="G165" t="str">
        <f t="shared" si="161"/>
        <v>Corrosion TA6V source EcoTi</v>
      </c>
      <c r="H165">
        <f t="shared" si="162"/>
        <v>0</v>
      </c>
      <c r="I165">
        <f t="shared" si="163"/>
        <v>5</v>
      </c>
      <c r="J165">
        <f t="shared" si="164"/>
        <v>1210</v>
      </c>
      <c r="K165">
        <f t="shared" si="165"/>
        <v>875</v>
      </c>
      <c r="L165">
        <f t="shared" si="166"/>
        <v>1058.75</v>
      </c>
      <c r="M165">
        <f t="shared" si="167"/>
        <v>45.937499999999993</v>
      </c>
      <c r="N165">
        <f t="shared" si="168"/>
        <v>50.531249999999993</v>
      </c>
      <c r="O165" t="str">
        <f t="shared" si="169"/>
        <v>Circ 1</v>
      </c>
      <c r="P165">
        <f>VLOOKUP(O165,pxmassif,D165-2010,FALSE)*M165</f>
        <v>45.937499999999993</v>
      </c>
      <c r="Q165">
        <f>VLOOKUP(O165,pxcopeau,D165-2010,FALSE)*N165</f>
        <v>30.318749999999994</v>
      </c>
      <c r="R165" t="str">
        <f t="shared" si="170"/>
        <v>SO</v>
      </c>
      <c r="S165">
        <f t="shared" si="171"/>
        <v>0</v>
      </c>
      <c r="T165">
        <f t="shared" si="172"/>
        <v>0</v>
      </c>
      <c r="U165" t="str">
        <f t="shared" si="173"/>
        <v>Circ 1</v>
      </c>
      <c r="V165">
        <f>VLOOKUP(U165,pxmassif,$D165-2010,FALSE)*S165</f>
        <v>0</v>
      </c>
      <c r="W165">
        <f>VLOOKUP(U165,pxcopeau,$D165-2010,FALSE)*T165</f>
        <v>0</v>
      </c>
      <c r="X165" t="str">
        <f t="shared" si="174"/>
        <v>SO</v>
      </c>
      <c r="Y165">
        <f t="shared" si="175"/>
        <v>0</v>
      </c>
      <c r="Z165">
        <f t="shared" si="176"/>
        <v>0</v>
      </c>
      <c r="AA165" t="str">
        <f t="shared" si="177"/>
        <v>Circ 1</v>
      </c>
      <c r="AB165">
        <f>VLOOKUP(AA165,pxmassif,$D165-2010,FALSE)*Y165</f>
        <v>0</v>
      </c>
      <c r="AC165">
        <f>VLOOKUP(AA165,pxcopeau,$D165-2010,FALSE)*Z165</f>
        <v>0</v>
      </c>
      <c r="AD165">
        <f t="shared" si="148"/>
        <v>45.937499999999993</v>
      </c>
      <c r="AE165">
        <f t="shared" si="149"/>
        <v>50.531249999999993</v>
      </c>
      <c r="AF165">
        <f t="shared" si="150"/>
        <v>96.468749999999986</v>
      </c>
      <c r="AG165">
        <f t="shared" si="151"/>
        <v>0</v>
      </c>
      <c r="AH165">
        <f t="shared" si="152"/>
        <v>0</v>
      </c>
      <c r="AI165">
        <f t="shared" si="153"/>
        <v>45.937499999999993</v>
      </c>
      <c r="AJ165">
        <f t="shared" si="154"/>
        <v>50.531249999999993</v>
      </c>
      <c r="AK165">
        <f t="shared" si="178"/>
        <v>90.529031249999989</v>
      </c>
      <c r="AL165">
        <f t="shared" si="179"/>
        <v>968.22096875</v>
      </c>
      <c r="AM165">
        <f>IFERROR(MIN(AL165,VLOOKUP(CONCATENATE(C165,"-to lingot"),negchutes,D165-2007,FALSE)),0)</f>
        <v>700.48531574999993</v>
      </c>
      <c r="AN165">
        <f t="shared" si="155"/>
        <v>267.73565300000007</v>
      </c>
      <c r="AO165" t="str">
        <f t="shared" si="184"/>
        <v>Corrosion</v>
      </c>
      <c r="AP165">
        <f>IF(AR165=0,0,IFERROR(VLOOKUP(CONCATENATE($C165,"-to massif"),negchutes,$D165-2007,FALSE),0)*AM165/AR165)</f>
        <v>395.19149999999996</v>
      </c>
      <c r="AQ165">
        <f>IF(AR165=0,0,IFERROR(VLOOKUP(CONCATENATE($C165,"-to copeaux"),negchutes,$D165-2007,FALSE),0)*AM165/AR165)</f>
        <v>343.32374999999996</v>
      </c>
      <c r="AR165">
        <f>IFERROR(VLOOKUP(CONCATENATE($C165,"-to lingot"),negchutes,$D165-2007,FALSE),0)</f>
        <v>700.48531574999993</v>
      </c>
      <c r="AS165">
        <f>IF(AR165=0,0,AP165*VLOOKUP(CONCATENATE($C165,"-ac massif"),negchutes,$D165-2007,FALSE))</f>
        <v>395.19149999999996</v>
      </c>
      <c r="AT165">
        <f>IF(AR165=0,0,AQ165*VLOOKUP(CONCATENATE($C165,"-ac copeaux"),negchutes,$D165-2007,FALSE))</f>
        <v>205.99424999999997</v>
      </c>
      <c r="AU165">
        <f t="shared" si="180"/>
        <v>1584.2580468749998</v>
      </c>
      <c r="AV165">
        <f>IFERROR(VLOOKUP(CONCATENATE(C165,"-px lingot"),negchutes,D165-2007,FALSE),0)*AM165</f>
        <v>10857.522394124999</v>
      </c>
      <c r="AW165">
        <f>AN165*VLOOKUP("Marché 1",pxlingot,D165-2010,FALSE)</f>
        <v>6693.3913250000014</v>
      </c>
      <c r="AX165">
        <f t="shared" si="157"/>
        <v>18.073361762455725</v>
      </c>
      <c r="AY165" t="str">
        <f t="shared" si="181"/>
        <v>VAR</v>
      </c>
      <c r="AZ165">
        <f t="shared" si="182"/>
        <v>90.529031249999989</v>
      </c>
      <c r="BA165">
        <f>MAX(VLOOKUP(VLOOKUP(C165,descmarche,28,FALSE),pxlingot,D165-2010,FALSE),AX165)</f>
        <v>18.073361762455725</v>
      </c>
      <c r="BB165">
        <f t="shared" si="158"/>
        <v>19135.171765999999</v>
      </c>
      <c r="BC165" t="str">
        <f t="shared" si="183"/>
        <v>Corrosion</v>
      </c>
    </row>
    <row r="166" spans="1:55" x14ac:dyDescent="0.25">
      <c r="A166" s="5" t="s">
        <v>69</v>
      </c>
      <c r="B166" s="4" t="s">
        <v>48</v>
      </c>
      <c r="C166" t="str">
        <f t="shared" si="160"/>
        <v>EcoTi-07</v>
      </c>
      <c r="D166">
        <v>2021</v>
      </c>
      <c r="E166">
        <v>880</v>
      </c>
      <c r="F166" t="str">
        <f t="shared" si="126"/>
        <v>TA6V Corrosion</v>
      </c>
      <c r="G166" t="str">
        <f t="shared" si="161"/>
        <v>Corrosion TA6V source EcoTi</v>
      </c>
      <c r="H166">
        <f t="shared" si="162"/>
        <v>0</v>
      </c>
      <c r="I166">
        <f t="shared" si="163"/>
        <v>5</v>
      </c>
      <c r="J166">
        <f t="shared" si="164"/>
        <v>1210</v>
      </c>
      <c r="K166">
        <f t="shared" si="165"/>
        <v>880</v>
      </c>
      <c r="L166">
        <f t="shared" si="166"/>
        <v>1064.8</v>
      </c>
      <c r="M166">
        <f t="shared" si="167"/>
        <v>46.199999999999989</v>
      </c>
      <c r="N166">
        <f t="shared" si="168"/>
        <v>50.819999999999993</v>
      </c>
      <c r="O166" t="str">
        <f t="shared" si="169"/>
        <v>Circ 1</v>
      </c>
      <c r="P166">
        <f>VLOOKUP(O166,pxmassif,D166-2010,FALSE)*M166</f>
        <v>46.199999999999989</v>
      </c>
      <c r="Q166">
        <f>VLOOKUP(O166,pxcopeau,D166-2010,FALSE)*N166</f>
        <v>30.491999999999994</v>
      </c>
      <c r="R166" t="str">
        <f t="shared" si="170"/>
        <v>SO</v>
      </c>
      <c r="S166">
        <f t="shared" si="171"/>
        <v>0</v>
      </c>
      <c r="T166">
        <f t="shared" si="172"/>
        <v>0</v>
      </c>
      <c r="U166" t="str">
        <f t="shared" si="173"/>
        <v>Circ 1</v>
      </c>
      <c r="V166">
        <f>VLOOKUP(U166,pxmassif,$D166-2010,FALSE)*S166</f>
        <v>0</v>
      </c>
      <c r="W166">
        <f>VLOOKUP(U166,pxcopeau,$D166-2010,FALSE)*T166</f>
        <v>0</v>
      </c>
      <c r="X166" t="str">
        <f t="shared" si="174"/>
        <v>SO</v>
      </c>
      <c r="Y166">
        <f t="shared" si="175"/>
        <v>0</v>
      </c>
      <c r="Z166">
        <f t="shared" si="176"/>
        <v>0</v>
      </c>
      <c r="AA166" t="str">
        <f t="shared" si="177"/>
        <v>Circ 1</v>
      </c>
      <c r="AB166">
        <f>VLOOKUP(AA166,pxmassif,$D166-2010,FALSE)*Y166</f>
        <v>0</v>
      </c>
      <c r="AC166">
        <f>VLOOKUP(AA166,pxcopeau,$D166-2010,FALSE)*Z166</f>
        <v>0</v>
      </c>
      <c r="AD166">
        <f t="shared" si="148"/>
        <v>46.199999999999989</v>
      </c>
      <c r="AE166">
        <f t="shared" si="149"/>
        <v>50.819999999999993</v>
      </c>
      <c r="AF166">
        <f t="shared" si="150"/>
        <v>97.019999999999982</v>
      </c>
      <c r="AG166">
        <f t="shared" si="151"/>
        <v>0</v>
      </c>
      <c r="AH166">
        <f t="shared" si="152"/>
        <v>0</v>
      </c>
      <c r="AI166">
        <f t="shared" si="153"/>
        <v>46.199999999999989</v>
      </c>
      <c r="AJ166">
        <f t="shared" si="154"/>
        <v>50.819999999999993</v>
      </c>
      <c r="AK166">
        <f t="shared" si="178"/>
        <v>91.046339999999987</v>
      </c>
      <c r="AL166">
        <f t="shared" si="179"/>
        <v>973.75366000000008</v>
      </c>
      <c r="AM166">
        <f>IFERROR(MIN(AL166,VLOOKUP(CONCATENATE(C166,"-to lingot"),negchutes,D166-2007,FALSE)),0)</f>
        <v>700.48531574999993</v>
      </c>
      <c r="AN166">
        <f t="shared" si="155"/>
        <v>273.26834425000015</v>
      </c>
      <c r="AO166" t="str">
        <f t="shared" si="184"/>
        <v>Corrosion</v>
      </c>
      <c r="AP166">
        <f>IF(AR166=0,0,IFERROR(VLOOKUP(CONCATENATE($C166,"-to massif"),negchutes,$D166-2007,FALSE),0)*AM166/AR166)</f>
        <v>395.19149999999996</v>
      </c>
      <c r="AQ166">
        <f>IF(AR166=0,0,IFERROR(VLOOKUP(CONCATENATE($C166,"-to copeaux"),negchutes,$D166-2007,FALSE),0)*AM166/AR166)</f>
        <v>343.32374999999996</v>
      </c>
      <c r="AR166">
        <f>IFERROR(VLOOKUP(CONCATENATE($C166,"-to lingot"),negchutes,$D166-2007,FALSE),0)</f>
        <v>700.48531574999993</v>
      </c>
      <c r="AS166">
        <f>IF(AR166=0,0,AP166*VLOOKUP(CONCATENATE($C166,"-ac massif"),negchutes,$D166-2007,FALSE))</f>
        <v>395.19149999999996</v>
      </c>
      <c r="AT166">
        <f>IF(AR166=0,0,AQ166*VLOOKUP(CONCATENATE($C166,"-ac copeaux"),negchutes,$D166-2007,FALSE))</f>
        <v>205.99424999999997</v>
      </c>
      <c r="AU166">
        <f t="shared" si="180"/>
        <v>1593.3109499999998</v>
      </c>
      <c r="AV166">
        <f>IFERROR(VLOOKUP(CONCATENATE(C166,"-px lingot"),negchutes,D166-2007,FALSE),0)*AM166</f>
        <v>10857.522394124999</v>
      </c>
      <c r="AW166">
        <f>AN166*VLOOKUP("Marché 1",pxlingot,D166-2010,FALSE)</f>
        <v>6831.7086062500039</v>
      </c>
      <c r="AX166">
        <f t="shared" si="157"/>
        <v>18.10907395790289</v>
      </c>
      <c r="AY166" t="str">
        <f t="shared" si="181"/>
        <v>VAR</v>
      </c>
      <c r="AZ166">
        <f t="shared" si="182"/>
        <v>91.046339999999987</v>
      </c>
      <c r="BA166">
        <f>MAX(VLOOKUP(VLOOKUP(C166,descmarche,28,FALSE),pxlingot,D166-2010,FALSE),AX166)</f>
        <v>18.10907395790289</v>
      </c>
      <c r="BB166">
        <f t="shared" si="158"/>
        <v>19282.541950374998</v>
      </c>
      <c r="BC166" t="str">
        <f t="shared" si="183"/>
        <v>Corrosion</v>
      </c>
    </row>
    <row r="167" spans="1:55" x14ac:dyDescent="0.25">
      <c r="A167" s="5" t="s">
        <v>69</v>
      </c>
      <c r="B167" s="4" t="s">
        <v>48</v>
      </c>
      <c r="C167" t="str">
        <f t="shared" si="160"/>
        <v>EcoTi-07</v>
      </c>
      <c r="D167">
        <v>2022</v>
      </c>
      <c r="E167">
        <v>880</v>
      </c>
      <c r="F167" t="str">
        <f t="shared" si="126"/>
        <v>TA6V Corrosion</v>
      </c>
      <c r="G167" t="str">
        <f t="shared" si="161"/>
        <v>Corrosion TA6V source EcoTi</v>
      </c>
      <c r="H167">
        <f t="shared" si="162"/>
        <v>0</v>
      </c>
      <c r="I167">
        <f t="shared" si="163"/>
        <v>5</v>
      </c>
      <c r="J167">
        <f t="shared" si="164"/>
        <v>1210</v>
      </c>
      <c r="K167">
        <f t="shared" si="165"/>
        <v>880</v>
      </c>
      <c r="L167">
        <f t="shared" si="166"/>
        <v>1064.8</v>
      </c>
      <c r="M167">
        <f t="shared" si="167"/>
        <v>46.199999999999989</v>
      </c>
      <c r="N167">
        <f t="shared" si="168"/>
        <v>50.819999999999993</v>
      </c>
      <c r="O167" t="str">
        <f t="shared" si="169"/>
        <v>Circ 1</v>
      </c>
      <c r="P167">
        <f>VLOOKUP(O167,pxmassif,D167-2010,FALSE)*M167</f>
        <v>46.199999999999989</v>
      </c>
      <c r="Q167">
        <f>VLOOKUP(O167,pxcopeau,D167-2010,FALSE)*N167</f>
        <v>30.491999999999994</v>
      </c>
      <c r="R167" t="str">
        <f t="shared" si="170"/>
        <v>SO</v>
      </c>
      <c r="S167">
        <f t="shared" si="171"/>
        <v>0</v>
      </c>
      <c r="T167">
        <f t="shared" si="172"/>
        <v>0</v>
      </c>
      <c r="U167" t="str">
        <f t="shared" si="173"/>
        <v>Circ 1</v>
      </c>
      <c r="V167">
        <f>VLOOKUP(U167,pxmassif,$D167-2010,FALSE)*S167</f>
        <v>0</v>
      </c>
      <c r="W167">
        <f>VLOOKUP(U167,pxcopeau,$D167-2010,FALSE)*T167</f>
        <v>0</v>
      </c>
      <c r="X167" t="str">
        <f t="shared" si="174"/>
        <v>SO</v>
      </c>
      <c r="Y167">
        <f t="shared" si="175"/>
        <v>0</v>
      </c>
      <c r="Z167">
        <f t="shared" si="176"/>
        <v>0</v>
      </c>
      <c r="AA167" t="str">
        <f t="shared" si="177"/>
        <v>Circ 1</v>
      </c>
      <c r="AB167">
        <f>VLOOKUP(AA167,pxmassif,$D167-2010,FALSE)*Y167</f>
        <v>0</v>
      </c>
      <c r="AC167">
        <f>VLOOKUP(AA167,pxcopeau,$D167-2010,FALSE)*Z167</f>
        <v>0</v>
      </c>
      <c r="AD167">
        <f t="shared" si="148"/>
        <v>46.199999999999989</v>
      </c>
      <c r="AE167">
        <f t="shared" si="149"/>
        <v>50.819999999999993</v>
      </c>
      <c r="AF167">
        <f t="shared" si="150"/>
        <v>97.019999999999982</v>
      </c>
      <c r="AG167">
        <f t="shared" si="151"/>
        <v>0</v>
      </c>
      <c r="AH167">
        <f t="shared" si="152"/>
        <v>0</v>
      </c>
      <c r="AI167">
        <f t="shared" si="153"/>
        <v>46.199999999999989</v>
      </c>
      <c r="AJ167">
        <f t="shared" si="154"/>
        <v>50.819999999999993</v>
      </c>
      <c r="AK167">
        <f t="shared" si="178"/>
        <v>91.046339999999987</v>
      </c>
      <c r="AL167">
        <f t="shared" si="179"/>
        <v>973.75366000000008</v>
      </c>
      <c r="AM167">
        <f>IFERROR(MIN(AL167,VLOOKUP(CONCATENATE(C167,"-to lingot"),negchutes,D167-2007,FALSE)),0)</f>
        <v>700.48531574999993</v>
      </c>
      <c r="AN167">
        <f t="shared" si="155"/>
        <v>273.26834425000015</v>
      </c>
      <c r="AO167" t="str">
        <f t="shared" si="184"/>
        <v>Corrosion</v>
      </c>
      <c r="AP167">
        <f>IF(AR167=0,0,IFERROR(VLOOKUP(CONCATENATE($C167,"-to massif"),negchutes,$D167-2007,FALSE),0)*AM167/AR167)</f>
        <v>395.19149999999996</v>
      </c>
      <c r="AQ167">
        <f>IF(AR167=0,0,IFERROR(VLOOKUP(CONCATENATE($C167,"-to copeaux"),negchutes,$D167-2007,FALSE),0)*AM167/AR167)</f>
        <v>343.32374999999996</v>
      </c>
      <c r="AR167">
        <f>IFERROR(VLOOKUP(CONCATENATE($C167,"-to lingot"),negchutes,$D167-2007,FALSE),0)</f>
        <v>700.48531574999993</v>
      </c>
      <c r="AS167">
        <f>IF(AR167=0,0,AP167*VLOOKUP(CONCATENATE($C167,"-ac massif"),negchutes,$D167-2007,FALSE))</f>
        <v>395.19149999999996</v>
      </c>
      <c r="AT167">
        <f>IF(AR167=0,0,AQ167*VLOOKUP(CONCATENATE($C167,"-ac copeaux"),negchutes,$D167-2007,FALSE))</f>
        <v>205.99424999999997</v>
      </c>
      <c r="AU167">
        <f t="shared" si="180"/>
        <v>1593.3109499999998</v>
      </c>
      <c r="AV167">
        <f>IFERROR(VLOOKUP(CONCATENATE(C167,"-px lingot"),negchutes,D167-2007,FALSE),0)*AM167</f>
        <v>10857.522394124999</v>
      </c>
      <c r="AW167">
        <f>AN167*VLOOKUP("Marché 1",pxlingot,D167-2010,FALSE)</f>
        <v>6831.7086062500039</v>
      </c>
      <c r="AX167">
        <f t="shared" si="157"/>
        <v>18.10907395790289</v>
      </c>
      <c r="AY167" t="str">
        <f t="shared" si="181"/>
        <v>VAR</v>
      </c>
      <c r="AZ167">
        <f t="shared" si="182"/>
        <v>91.046339999999987</v>
      </c>
      <c r="BA167">
        <f>MAX(VLOOKUP(VLOOKUP(C167,descmarche,28,FALSE),pxlingot,D167-2010,FALSE),AX167)</f>
        <v>18.10907395790289</v>
      </c>
      <c r="BB167">
        <f t="shared" si="158"/>
        <v>19282.541950374998</v>
      </c>
      <c r="BC167" t="str">
        <f t="shared" si="183"/>
        <v>Corrosion</v>
      </c>
    </row>
    <row r="168" spans="1:55" x14ac:dyDescent="0.25">
      <c r="A168" s="5" t="s">
        <v>69</v>
      </c>
      <c r="B168" s="4" t="s">
        <v>48</v>
      </c>
      <c r="C168" t="str">
        <f t="shared" si="160"/>
        <v>EcoTi-07</v>
      </c>
      <c r="D168">
        <v>2023</v>
      </c>
      <c r="E168">
        <v>885</v>
      </c>
      <c r="F168" t="str">
        <f t="shared" si="126"/>
        <v>TA6V Corrosion</v>
      </c>
      <c r="G168" t="str">
        <f t="shared" si="161"/>
        <v>Corrosion TA6V source EcoTi</v>
      </c>
      <c r="H168">
        <f t="shared" si="162"/>
        <v>0</v>
      </c>
      <c r="I168">
        <f t="shared" si="163"/>
        <v>5</v>
      </c>
      <c r="J168">
        <f t="shared" si="164"/>
        <v>1210</v>
      </c>
      <c r="K168">
        <f t="shared" si="165"/>
        <v>885</v>
      </c>
      <c r="L168">
        <f t="shared" si="166"/>
        <v>1070.8499999999999</v>
      </c>
      <c r="M168">
        <f t="shared" si="167"/>
        <v>46.462499999999991</v>
      </c>
      <c r="N168">
        <f t="shared" si="168"/>
        <v>51.108749999999993</v>
      </c>
      <c r="O168" t="str">
        <f t="shared" si="169"/>
        <v>Circ 1</v>
      </c>
      <c r="P168">
        <f>VLOOKUP(O168,pxmassif,D168-2010,FALSE)*M168</f>
        <v>46.462499999999991</v>
      </c>
      <c r="Q168">
        <f>VLOOKUP(O168,pxcopeau,D168-2010,FALSE)*N168</f>
        <v>30.665249999999993</v>
      </c>
      <c r="R168" t="str">
        <f t="shared" si="170"/>
        <v>SO</v>
      </c>
      <c r="S168">
        <f t="shared" si="171"/>
        <v>0</v>
      </c>
      <c r="T168">
        <f t="shared" si="172"/>
        <v>0</v>
      </c>
      <c r="U168" t="str">
        <f t="shared" si="173"/>
        <v>Circ 1</v>
      </c>
      <c r="V168">
        <f>VLOOKUP(U168,pxmassif,$D168-2010,FALSE)*S168</f>
        <v>0</v>
      </c>
      <c r="W168">
        <f>VLOOKUP(U168,pxcopeau,$D168-2010,FALSE)*T168</f>
        <v>0</v>
      </c>
      <c r="X168" t="str">
        <f t="shared" si="174"/>
        <v>SO</v>
      </c>
      <c r="Y168">
        <f t="shared" si="175"/>
        <v>0</v>
      </c>
      <c r="Z168">
        <f t="shared" si="176"/>
        <v>0</v>
      </c>
      <c r="AA168" t="str">
        <f t="shared" si="177"/>
        <v>Circ 1</v>
      </c>
      <c r="AB168">
        <f>VLOOKUP(AA168,pxmassif,$D168-2010,FALSE)*Y168</f>
        <v>0</v>
      </c>
      <c r="AC168">
        <f>VLOOKUP(AA168,pxcopeau,$D168-2010,FALSE)*Z168</f>
        <v>0</v>
      </c>
      <c r="AD168">
        <f t="shared" si="148"/>
        <v>46.462499999999991</v>
      </c>
      <c r="AE168">
        <f t="shared" si="149"/>
        <v>51.108749999999993</v>
      </c>
      <c r="AF168">
        <f t="shared" si="150"/>
        <v>97.571249999999992</v>
      </c>
      <c r="AG168">
        <f t="shared" si="151"/>
        <v>0</v>
      </c>
      <c r="AH168">
        <f t="shared" si="152"/>
        <v>0</v>
      </c>
      <c r="AI168">
        <f t="shared" si="153"/>
        <v>46.462499999999991</v>
      </c>
      <c r="AJ168">
        <f t="shared" si="154"/>
        <v>51.108749999999993</v>
      </c>
      <c r="AK168">
        <f t="shared" si="178"/>
        <v>91.563648749999999</v>
      </c>
      <c r="AL168">
        <f t="shared" si="179"/>
        <v>979.28635125000005</v>
      </c>
      <c r="AM168">
        <f>IFERROR(MIN(AL168,VLOOKUP(CONCATENATE(C168,"-to lingot"),negchutes,D168-2007,FALSE)),0)</f>
        <v>700.48531574999993</v>
      </c>
      <c r="AN168">
        <f t="shared" si="155"/>
        <v>278.80103550000013</v>
      </c>
      <c r="AO168" t="str">
        <f t="shared" si="184"/>
        <v>Corrosion</v>
      </c>
      <c r="AP168">
        <f>IF(AR168=0,0,IFERROR(VLOOKUP(CONCATENATE($C168,"-to massif"),negchutes,$D168-2007,FALSE),0)*AM168/AR168)</f>
        <v>395.19149999999996</v>
      </c>
      <c r="AQ168">
        <f>IF(AR168=0,0,IFERROR(VLOOKUP(CONCATENATE($C168,"-to copeaux"),negchutes,$D168-2007,FALSE),0)*AM168/AR168)</f>
        <v>343.32374999999996</v>
      </c>
      <c r="AR168">
        <f>IFERROR(VLOOKUP(CONCATENATE($C168,"-to lingot"),negchutes,$D168-2007,FALSE),0)</f>
        <v>700.48531574999993</v>
      </c>
      <c r="AS168">
        <f>IF(AR168=0,0,AP168*VLOOKUP(CONCATENATE($C168,"-ac massif"),negchutes,$D168-2007,FALSE))</f>
        <v>395.19149999999996</v>
      </c>
      <c r="AT168">
        <f>IF(AR168=0,0,AQ168*VLOOKUP(CONCATENATE($C168,"-ac copeaux"),negchutes,$D168-2007,FALSE))</f>
        <v>205.99424999999997</v>
      </c>
      <c r="AU168">
        <f t="shared" si="180"/>
        <v>1602.3638531249999</v>
      </c>
      <c r="AV168">
        <f>IFERROR(VLOOKUP(CONCATENATE(C168,"-px lingot"),negchutes,D168-2007,FALSE),0)*AM168</f>
        <v>10857.522394124999</v>
      </c>
      <c r="AW168">
        <f>AN168*VLOOKUP("Marché 1",pxlingot,D168-2010,FALSE)</f>
        <v>6970.0258875000036</v>
      </c>
      <c r="AX168">
        <f t="shared" si="157"/>
        <v>18.144382625717888</v>
      </c>
      <c r="AY168" t="str">
        <f t="shared" si="181"/>
        <v>VAR</v>
      </c>
      <c r="AZ168">
        <f t="shared" si="182"/>
        <v>91.563648749999984</v>
      </c>
      <c r="BA168">
        <f>MAX(VLOOKUP(VLOOKUP(C168,descmarche,28,FALSE),pxlingot,D168-2010,FALSE),AX168)</f>
        <v>18.144382625717888</v>
      </c>
      <c r="BB168">
        <f t="shared" si="158"/>
        <v>19429.91213475</v>
      </c>
      <c r="BC168" t="str">
        <f t="shared" si="183"/>
        <v>Corrosion</v>
      </c>
    </row>
    <row r="169" spans="1:55" x14ac:dyDescent="0.25">
      <c r="A169" s="5" t="s">
        <v>69</v>
      </c>
      <c r="B169" s="4" t="s">
        <v>48</v>
      </c>
      <c r="C169" t="str">
        <f t="shared" si="160"/>
        <v>EcoTi-07</v>
      </c>
      <c r="D169">
        <v>2024</v>
      </c>
      <c r="E169">
        <v>885</v>
      </c>
      <c r="F169" t="str">
        <f t="shared" si="126"/>
        <v>TA6V Corrosion</v>
      </c>
      <c r="G169" t="str">
        <f t="shared" si="161"/>
        <v>Corrosion TA6V source EcoTi</v>
      </c>
      <c r="H169">
        <f t="shared" si="162"/>
        <v>0</v>
      </c>
      <c r="I169">
        <f t="shared" si="163"/>
        <v>5</v>
      </c>
      <c r="J169">
        <f t="shared" si="164"/>
        <v>1210</v>
      </c>
      <c r="K169">
        <f t="shared" si="165"/>
        <v>885</v>
      </c>
      <c r="L169">
        <f t="shared" si="166"/>
        <v>1070.8499999999999</v>
      </c>
      <c r="M169">
        <f t="shared" si="167"/>
        <v>46.462499999999991</v>
      </c>
      <c r="N169">
        <f t="shared" si="168"/>
        <v>51.108749999999993</v>
      </c>
      <c r="O169" t="str">
        <f t="shared" si="169"/>
        <v>Circ 1</v>
      </c>
      <c r="P169">
        <f>VLOOKUP(O169,pxmassif,D169-2010,FALSE)*M169</f>
        <v>46.462499999999991</v>
      </c>
      <c r="Q169">
        <f>VLOOKUP(O169,pxcopeau,D169-2010,FALSE)*N169</f>
        <v>30.665249999999993</v>
      </c>
      <c r="R169" t="str">
        <f t="shared" si="170"/>
        <v>SO</v>
      </c>
      <c r="S169">
        <f t="shared" si="171"/>
        <v>0</v>
      </c>
      <c r="T169">
        <f t="shared" si="172"/>
        <v>0</v>
      </c>
      <c r="U169" t="str">
        <f t="shared" si="173"/>
        <v>Circ 1</v>
      </c>
      <c r="V169">
        <f>VLOOKUP(U169,pxmassif,$D169-2010,FALSE)*S169</f>
        <v>0</v>
      </c>
      <c r="W169">
        <f>VLOOKUP(U169,pxcopeau,$D169-2010,FALSE)*T169</f>
        <v>0</v>
      </c>
      <c r="X169" t="str">
        <f t="shared" si="174"/>
        <v>SO</v>
      </c>
      <c r="Y169">
        <f t="shared" si="175"/>
        <v>0</v>
      </c>
      <c r="Z169">
        <f t="shared" si="176"/>
        <v>0</v>
      </c>
      <c r="AA169" t="str">
        <f t="shared" si="177"/>
        <v>Circ 1</v>
      </c>
      <c r="AB169">
        <f>VLOOKUP(AA169,pxmassif,$D169-2010,FALSE)*Y169</f>
        <v>0</v>
      </c>
      <c r="AC169">
        <f>VLOOKUP(AA169,pxcopeau,$D169-2010,FALSE)*Z169</f>
        <v>0</v>
      </c>
      <c r="AD169">
        <f t="shared" si="148"/>
        <v>46.462499999999991</v>
      </c>
      <c r="AE169">
        <f t="shared" si="149"/>
        <v>51.108749999999993</v>
      </c>
      <c r="AF169">
        <f t="shared" si="150"/>
        <v>97.571249999999992</v>
      </c>
      <c r="AG169">
        <f t="shared" si="151"/>
        <v>0</v>
      </c>
      <c r="AH169">
        <f t="shared" si="152"/>
        <v>0</v>
      </c>
      <c r="AI169">
        <f t="shared" si="153"/>
        <v>46.462499999999991</v>
      </c>
      <c r="AJ169">
        <f t="shared" si="154"/>
        <v>51.108749999999993</v>
      </c>
      <c r="AK169">
        <f t="shared" si="178"/>
        <v>91.563648749999999</v>
      </c>
      <c r="AL169">
        <f t="shared" si="179"/>
        <v>979.28635125000005</v>
      </c>
      <c r="AM169">
        <f>IFERROR(MIN(AL169,VLOOKUP(CONCATENATE(C169,"-to lingot"),negchutes,D169-2007,FALSE)),0)</f>
        <v>700.48531574999993</v>
      </c>
      <c r="AN169">
        <f t="shared" si="155"/>
        <v>278.80103550000013</v>
      </c>
      <c r="AO169" t="str">
        <f t="shared" si="184"/>
        <v>Corrosion</v>
      </c>
      <c r="AP169">
        <f>IF(AR169=0,0,IFERROR(VLOOKUP(CONCATENATE($C169,"-to massif"),negchutes,$D169-2007,FALSE),0)*AM169/AR169)</f>
        <v>395.19149999999996</v>
      </c>
      <c r="AQ169">
        <f>IF(AR169=0,0,IFERROR(VLOOKUP(CONCATENATE($C169,"-to copeaux"),negchutes,$D169-2007,FALSE),0)*AM169/AR169)</f>
        <v>343.32374999999996</v>
      </c>
      <c r="AR169">
        <f>IFERROR(VLOOKUP(CONCATENATE($C169,"-to lingot"),negchutes,$D169-2007,FALSE),0)</f>
        <v>700.48531574999993</v>
      </c>
      <c r="AS169">
        <f>IF(AR169=0,0,AP169*VLOOKUP(CONCATENATE($C169,"-ac massif"),negchutes,$D169-2007,FALSE))</f>
        <v>395.19149999999996</v>
      </c>
      <c r="AT169">
        <f>IF(AR169=0,0,AQ169*VLOOKUP(CONCATENATE($C169,"-ac copeaux"),negchutes,$D169-2007,FALSE))</f>
        <v>205.99424999999997</v>
      </c>
      <c r="AU169">
        <f t="shared" si="180"/>
        <v>1602.3638531249999</v>
      </c>
      <c r="AV169">
        <f>IFERROR(VLOOKUP(CONCATENATE(C169,"-px lingot"),negchutes,D169-2007,FALSE),0)*AM169</f>
        <v>10857.522394124999</v>
      </c>
      <c r="AW169">
        <f>AN169*VLOOKUP("Marché 1",pxlingot,D169-2010,FALSE)</f>
        <v>6970.0258875000036</v>
      </c>
      <c r="AX169">
        <f t="shared" si="157"/>
        <v>18.144382625717888</v>
      </c>
      <c r="AY169" t="str">
        <f t="shared" si="181"/>
        <v>VAR</v>
      </c>
      <c r="AZ169">
        <f t="shared" si="182"/>
        <v>91.563648749999984</v>
      </c>
      <c r="BA169">
        <f>MAX(VLOOKUP(VLOOKUP(C169,descmarche,28,FALSE),pxlingot,D169-2010,FALSE),AX169)</f>
        <v>18.144382625717888</v>
      </c>
      <c r="BB169">
        <f t="shared" si="158"/>
        <v>19429.91213475</v>
      </c>
      <c r="BC169" t="str">
        <f t="shared" si="183"/>
        <v>Corrosion</v>
      </c>
    </row>
    <row r="170" spans="1:55" x14ac:dyDescent="0.25">
      <c r="A170" s="5" t="s">
        <v>69</v>
      </c>
      <c r="B170" s="4" t="s">
        <v>49</v>
      </c>
      <c r="C170" t="str">
        <f t="shared" si="160"/>
        <v>EcoTi-08</v>
      </c>
      <c r="D170">
        <v>2016</v>
      </c>
      <c r="E170">
        <v>10</v>
      </c>
      <c r="F170" t="str">
        <f t="shared" si="126"/>
        <v>DP Militaire</v>
      </c>
      <c r="G170" t="str">
        <f t="shared" si="161"/>
        <v>Défense source EcoTi</v>
      </c>
      <c r="H170" t="str">
        <f t="shared" si="162"/>
        <v>Aval UKAD</v>
      </c>
      <c r="I170">
        <f t="shared" si="163"/>
        <v>5</v>
      </c>
      <c r="J170">
        <f t="shared" si="164"/>
        <v>1210</v>
      </c>
      <c r="K170">
        <f t="shared" si="165"/>
        <v>10</v>
      </c>
      <c r="L170">
        <f t="shared" si="166"/>
        <v>12.1</v>
      </c>
      <c r="M170">
        <f t="shared" si="167"/>
        <v>0.52499999999999991</v>
      </c>
      <c r="N170">
        <f t="shared" si="168"/>
        <v>0.5774999999999999</v>
      </c>
      <c r="O170" t="str">
        <f t="shared" si="169"/>
        <v>Circ 1</v>
      </c>
      <c r="P170">
        <f>VLOOKUP(O170,pxmassif,D170-2010,FALSE)*M170</f>
        <v>0.52499999999999991</v>
      </c>
      <c r="Q170">
        <f>VLOOKUP(O170,pxcopeau,D170-2010,FALSE)*N170</f>
        <v>0.34649999999999992</v>
      </c>
      <c r="R170" t="str">
        <f t="shared" si="170"/>
        <v>BA pour UKAD</v>
      </c>
      <c r="S170">
        <f t="shared" si="171"/>
        <v>0</v>
      </c>
      <c r="T170">
        <f t="shared" si="172"/>
        <v>0</v>
      </c>
      <c r="U170" t="str">
        <f t="shared" si="173"/>
        <v>Circ 1</v>
      </c>
      <c r="V170">
        <f>VLOOKUP(U170,pxmassif,$D170-2010,FALSE)*S170</f>
        <v>0</v>
      </c>
      <c r="W170">
        <f>VLOOKUP(U170,pxcopeau,$D170-2010,FALSE)*T170</f>
        <v>0</v>
      </c>
      <c r="X170" t="str">
        <f t="shared" si="174"/>
        <v>Client</v>
      </c>
      <c r="Y170">
        <f t="shared" si="175"/>
        <v>0</v>
      </c>
      <c r="Z170">
        <f t="shared" si="176"/>
        <v>0</v>
      </c>
      <c r="AA170" t="str">
        <f t="shared" si="177"/>
        <v>Circ 1</v>
      </c>
      <c r="AB170">
        <f>VLOOKUP(AA170,pxmassif,$D170-2010,FALSE)*Y170</f>
        <v>0</v>
      </c>
      <c r="AC170">
        <f>VLOOKUP(AA170,pxcopeau,$D170-2010,FALSE)*Z170</f>
        <v>0</v>
      </c>
      <c r="AD170">
        <f t="shared" si="148"/>
        <v>0.52499999999999991</v>
      </c>
      <c r="AE170">
        <f t="shared" si="149"/>
        <v>0.5774999999999999</v>
      </c>
      <c r="AF170">
        <f t="shared" si="150"/>
        <v>1.1024999999999998</v>
      </c>
      <c r="AG170">
        <f t="shared" si="151"/>
        <v>0</v>
      </c>
      <c r="AH170">
        <f t="shared" si="152"/>
        <v>0</v>
      </c>
      <c r="AI170">
        <f t="shared" si="153"/>
        <v>0.52499999999999991</v>
      </c>
      <c r="AJ170">
        <f t="shared" si="154"/>
        <v>0.5774999999999999</v>
      </c>
      <c r="AK170">
        <f t="shared" si="178"/>
        <v>1.0346175</v>
      </c>
      <c r="AL170">
        <f t="shared" si="179"/>
        <v>11.0653825</v>
      </c>
      <c r="AM170">
        <f>IFERROR(MIN(AL170,VLOOKUP(CONCATENATE(C170,"-to lingot"),negchutes,D170-2007,FALSE)),0)</f>
        <v>0</v>
      </c>
      <c r="AN170">
        <f t="shared" si="155"/>
        <v>11.0653825</v>
      </c>
      <c r="AO170" t="str">
        <f t="shared" si="184"/>
        <v>Circ 1</v>
      </c>
      <c r="AP170">
        <f>IF(AR170=0,0,IFERROR(VLOOKUP(CONCATENATE($C170,"-to massif"),negchutes,$D170-2007,FALSE),0)*AM170/AR170)</f>
        <v>0</v>
      </c>
      <c r="AQ170">
        <f>IF(AR170=0,0,IFERROR(VLOOKUP(CONCATENATE($C170,"-to copeaux"),negchutes,$D170-2007,FALSE),0)*AM170/AR170)</f>
        <v>0</v>
      </c>
      <c r="AR170">
        <f>IFERROR(VLOOKUP(CONCATENATE($C170,"-to lingot"),negchutes,$D170-2007,FALSE),0)</f>
        <v>0</v>
      </c>
      <c r="AS170">
        <f>IF(AR170=0,0,AP170*VLOOKUP(CONCATENATE($C170,"-ac massif"),negchutes,$D170-2007,FALSE))</f>
        <v>0</v>
      </c>
      <c r="AT170">
        <f>IF(AR170=0,0,AQ170*VLOOKUP(CONCATENATE($C170,"-ac copeaux"),negchutes,$D170-2007,FALSE))</f>
        <v>0</v>
      </c>
      <c r="AU170">
        <f t="shared" si="180"/>
        <v>16.036571249999998</v>
      </c>
      <c r="AV170">
        <f>IFERROR(VLOOKUP(CONCATENATE(C170,"-px lingot"),negchutes,D170-2007,FALSE),0)*AM170</f>
        <v>0</v>
      </c>
      <c r="AW170">
        <f>AN170*VLOOKUP("Marché 1",pxlingot,D170-2010,FALSE)</f>
        <v>276.63456250000002</v>
      </c>
      <c r="AX170">
        <f t="shared" si="157"/>
        <v>24.187697004132232</v>
      </c>
      <c r="AY170" t="str">
        <f t="shared" si="181"/>
        <v>VAR</v>
      </c>
      <c r="AZ170">
        <f t="shared" si="182"/>
        <v>1.0346175</v>
      </c>
      <c r="BA170">
        <f>MAX(VLOOKUP(VLOOKUP(C170,descmarche,28,FALSE),pxlingot,D170-2010,FALSE),AX170)</f>
        <v>24.187697004132232</v>
      </c>
      <c r="BB170">
        <f t="shared" si="158"/>
        <v>292.67113375000002</v>
      </c>
      <c r="BC170" t="str">
        <f t="shared" si="183"/>
        <v>Circ 1</v>
      </c>
    </row>
    <row r="171" spans="1:55" x14ac:dyDescent="0.25">
      <c r="A171" s="5" t="s">
        <v>69</v>
      </c>
      <c r="B171" s="4" t="s">
        <v>49</v>
      </c>
      <c r="C171" t="str">
        <f t="shared" si="160"/>
        <v>EcoTi-08</v>
      </c>
      <c r="D171">
        <v>2017</v>
      </c>
      <c r="E171">
        <v>30</v>
      </c>
      <c r="F171" t="str">
        <f t="shared" si="126"/>
        <v>DP Militaire</v>
      </c>
      <c r="G171" t="str">
        <f t="shared" si="161"/>
        <v>Défense source EcoTi</v>
      </c>
      <c r="H171" t="str">
        <f t="shared" si="162"/>
        <v>Aval UKAD</v>
      </c>
      <c r="I171">
        <f t="shared" si="163"/>
        <v>5</v>
      </c>
      <c r="J171">
        <f t="shared" si="164"/>
        <v>1210</v>
      </c>
      <c r="K171">
        <f t="shared" si="165"/>
        <v>30</v>
      </c>
      <c r="L171">
        <f t="shared" si="166"/>
        <v>36.299999999999997</v>
      </c>
      <c r="M171">
        <f t="shared" si="167"/>
        <v>1.5749999999999997</v>
      </c>
      <c r="N171">
        <f t="shared" si="168"/>
        <v>1.7324999999999999</v>
      </c>
      <c r="O171" t="str">
        <f t="shared" si="169"/>
        <v>Circ 1</v>
      </c>
      <c r="P171">
        <f>VLOOKUP(O171,pxmassif,D171-2010,FALSE)*M171</f>
        <v>1.5749999999999997</v>
      </c>
      <c r="Q171">
        <f>VLOOKUP(O171,pxcopeau,D171-2010,FALSE)*N171</f>
        <v>1.0394999999999999</v>
      </c>
      <c r="R171" t="str">
        <f t="shared" si="170"/>
        <v>BA pour UKAD</v>
      </c>
      <c r="S171">
        <f t="shared" si="171"/>
        <v>0</v>
      </c>
      <c r="T171">
        <f t="shared" si="172"/>
        <v>0</v>
      </c>
      <c r="U171" t="str">
        <f t="shared" si="173"/>
        <v>Circ 1</v>
      </c>
      <c r="V171">
        <f>VLOOKUP(U171,pxmassif,$D171-2010,FALSE)*S171</f>
        <v>0</v>
      </c>
      <c r="W171">
        <f>VLOOKUP(U171,pxcopeau,$D171-2010,FALSE)*T171</f>
        <v>0</v>
      </c>
      <c r="X171" t="str">
        <f t="shared" si="174"/>
        <v>Client</v>
      </c>
      <c r="Y171">
        <f t="shared" si="175"/>
        <v>0</v>
      </c>
      <c r="Z171">
        <f t="shared" si="176"/>
        <v>0</v>
      </c>
      <c r="AA171" t="str">
        <f t="shared" si="177"/>
        <v>Circ 1</v>
      </c>
      <c r="AB171">
        <f>VLOOKUP(AA171,pxmassif,$D171-2010,FALSE)*Y171</f>
        <v>0</v>
      </c>
      <c r="AC171">
        <f>VLOOKUP(AA171,pxcopeau,$D171-2010,FALSE)*Z171</f>
        <v>0</v>
      </c>
      <c r="AD171">
        <f t="shared" si="148"/>
        <v>1.5749999999999997</v>
      </c>
      <c r="AE171">
        <f t="shared" si="149"/>
        <v>1.7324999999999999</v>
      </c>
      <c r="AF171">
        <f t="shared" si="150"/>
        <v>3.3074999999999997</v>
      </c>
      <c r="AG171">
        <f t="shared" si="151"/>
        <v>0</v>
      </c>
      <c r="AH171">
        <f t="shared" si="152"/>
        <v>0</v>
      </c>
      <c r="AI171">
        <f t="shared" si="153"/>
        <v>1.5749999999999997</v>
      </c>
      <c r="AJ171">
        <f t="shared" si="154"/>
        <v>1.7324999999999999</v>
      </c>
      <c r="AK171">
        <f t="shared" si="178"/>
        <v>3.1038524999999999</v>
      </c>
      <c r="AL171">
        <f t="shared" si="179"/>
        <v>33.196147500000002</v>
      </c>
      <c r="AM171">
        <f>IFERROR(MIN(AL171,VLOOKUP(CONCATENATE(C171,"-to lingot"),negchutes,D171-2007,FALSE)),0)</f>
        <v>0</v>
      </c>
      <c r="AN171">
        <f t="shared" si="155"/>
        <v>33.196147500000002</v>
      </c>
      <c r="AO171" t="str">
        <f t="shared" si="184"/>
        <v>Circ 1</v>
      </c>
      <c r="AP171">
        <f>IF(AR171=0,0,IFERROR(VLOOKUP(CONCATENATE($C171,"-to massif"),negchutes,$D171-2007,FALSE),0)*AM171/AR171)</f>
        <v>0</v>
      </c>
      <c r="AQ171">
        <f>IF(AR171=0,0,IFERROR(VLOOKUP(CONCATENATE($C171,"-to copeaux"),negchutes,$D171-2007,FALSE),0)*AM171/AR171)</f>
        <v>0</v>
      </c>
      <c r="AR171">
        <f>IFERROR(VLOOKUP(CONCATENATE($C171,"-to lingot"),negchutes,$D171-2007,FALSE),0)</f>
        <v>0</v>
      </c>
      <c r="AS171">
        <f>IF(AR171=0,0,AP171*VLOOKUP(CONCATENATE($C171,"-ac massif"),negchutes,$D171-2007,FALSE))</f>
        <v>0</v>
      </c>
      <c r="AT171">
        <f>IF(AR171=0,0,AQ171*VLOOKUP(CONCATENATE($C171,"-ac copeaux"),negchutes,$D171-2007,FALSE))</f>
        <v>0</v>
      </c>
      <c r="AU171">
        <f t="shared" si="180"/>
        <v>48.109713749999997</v>
      </c>
      <c r="AV171">
        <f>IFERROR(VLOOKUP(CONCATENATE(C171,"-px lingot"),negchutes,D171-2007,FALSE),0)*AM171</f>
        <v>0</v>
      </c>
      <c r="AW171">
        <f>AN171*VLOOKUP("Marché 1",pxlingot,D171-2010,FALSE)</f>
        <v>829.90368750000005</v>
      </c>
      <c r="AX171">
        <f t="shared" si="157"/>
        <v>24.187697004132229</v>
      </c>
      <c r="AY171" t="str">
        <f t="shared" si="181"/>
        <v>VAR</v>
      </c>
      <c r="AZ171">
        <f t="shared" si="182"/>
        <v>3.1038524999999995</v>
      </c>
      <c r="BA171">
        <f>MAX(VLOOKUP(VLOOKUP(C171,descmarche,28,FALSE),pxlingot,D171-2010,FALSE),AX171)</f>
        <v>24.187697004132229</v>
      </c>
      <c r="BB171">
        <f t="shared" si="158"/>
        <v>878.01340124999979</v>
      </c>
      <c r="BC171" t="str">
        <f t="shared" si="183"/>
        <v>Circ 1</v>
      </c>
    </row>
    <row r="172" spans="1:55" x14ac:dyDescent="0.25">
      <c r="A172" s="5" t="s">
        <v>69</v>
      </c>
      <c r="B172" s="4" t="s">
        <v>49</v>
      </c>
      <c r="C172" t="str">
        <f t="shared" si="160"/>
        <v>EcoTi-08</v>
      </c>
      <c r="D172">
        <v>2018</v>
      </c>
      <c r="E172">
        <v>50</v>
      </c>
      <c r="F172" t="str">
        <f t="shared" si="126"/>
        <v>DP Militaire</v>
      </c>
      <c r="G172" t="str">
        <f t="shared" si="161"/>
        <v>Défense source EcoTi</v>
      </c>
      <c r="H172" t="str">
        <f t="shared" si="162"/>
        <v>Aval UKAD</v>
      </c>
      <c r="I172">
        <f t="shared" si="163"/>
        <v>5</v>
      </c>
      <c r="J172">
        <f t="shared" si="164"/>
        <v>1210</v>
      </c>
      <c r="K172">
        <f t="shared" si="165"/>
        <v>50</v>
      </c>
      <c r="L172">
        <f t="shared" si="166"/>
        <v>60.5</v>
      </c>
      <c r="M172">
        <f t="shared" si="167"/>
        <v>2.6249999999999996</v>
      </c>
      <c r="N172">
        <f t="shared" si="168"/>
        <v>2.8874999999999997</v>
      </c>
      <c r="O172" t="str">
        <f t="shared" si="169"/>
        <v>Circ 1</v>
      </c>
      <c r="P172">
        <f>VLOOKUP(O172,pxmassif,D172-2010,FALSE)*M172</f>
        <v>2.6249999999999996</v>
      </c>
      <c r="Q172">
        <f>VLOOKUP(O172,pxcopeau,D172-2010,FALSE)*N172</f>
        <v>1.7324999999999997</v>
      </c>
      <c r="R172" t="str">
        <f t="shared" si="170"/>
        <v>BA pour UKAD</v>
      </c>
      <c r="S172">
        <f t="shared" si="171"/>
        <v>0</v>
      </c>
      <c r="T172">
        <f t="shared" si="172"/>
        <v>0</v>
      </c>
      <c r="U172" t="str">
        <f t="shared" si="173"/>
        <v>Circ 1</v>
      </c>
      <c r="V172">
        <f>VLOOKUP(U172,pxmassif,$D172-2010,FALSE)*S172</f>
        <v>0</v>
      </c>
      <c r="W172">
        <f>VLOOKUP(U172,pxcopeau,$D172-2010,FALSE)*T172</f>
        <v>0</v>
      </c>
      <c r="X172" t="str">
        <f t="shared" si="174"/>
        <v>Client</v>
      </c>
      <c r="Y172">
        <f t="shared" si="175"/>
        <v>0</v>
      </c>
      <c r="Z172">
        <f t="shared" si="176"/>
        <v>0</v>
      </c>
      <c r="AA172" t="str">
        <f t="shared" si="177"/>
        <v>Circ 1</v>
      </c>
      <c r="AB172">
        <f>VLOOKUP(AA172,pxmassif,$D172-2010,FALSE)*Y172</f>
        <v>0</v>
      </c>
      <c r="AC172">
        <f>VLOOKUP(AA172,pxcopeau,$D172-2010,FALSE)*Z172</f>
        <v>0</v>
      </c>
      <c r="AD172">
        <f t="shared" si="148"/>
        <v>2.6249999999999996</v>
      </c>
      <c r="AE172">
        <f t="shared" si="149"/>
        <v>2.8874999999999997</v>
      </c>
      <c r="AF172">
        <f t="shared" si="150"/>
        <v>5.5124999999999993</v>
      </c>
      <c r="AG172">
        <f t="shared" si="151"/>
        <v>0</v>
      </c>
      <c r="AH172">
        <f t="shared" si="152"/>
        <v>0</v>
      </c>
      <c r="AI172">
        <f t="shared" si="153"/>
        <v>2.6249999999999996</v>
      </c>
      <c r="AJ172">
        <f t="shared" si="154"/>
        <v>2.8874999999999997</v>
      </c>
      <c r="AK172">
        <f t="shared" si="178"/>
        <v>5.1730874999999994</v>
      </c>
      <c r="AL172">
        <f t="shared" si="179"/>
        <v>55.326912500000006</v>
      </c>
      <c r="AM172">
        <f>IFERROR(MIN(AL172,VLOOKUP(CONCATENATE(C172,"-to lingot"),negchutes,D172-2007,FALSE)),0)</f>
        <v>0</v>
      </c>
      <c r="AN172">
        <f t="shared" si="155"/>
        <v>55.326912500000006</v>
      </c>
      <c r="AO172" t="str">
        <f t="shared" si="184"/>
        <v>Circ 1</v>
      </c>
      <c r="AP172">
        <f>IF(AR172=0,0,IFERROR(VLOOKUP(CONCATENATE($C172,"-to massif"),negchutes,$D172-2007,FALSE),0)*AM172/AR172)</f>
        <v>0</v>
      </c>
      <c r="AQ172">
        <f>IF(AR172=0,0,IFERROR(VLOOKUP(CONCATENATE($C172,"-to copeaux"),negchutes,$D172-2007,FALSE),0)*AM172/AR172)</f>
        <v>0</v>
      </c>
      <c r="AR172">
        <f>IFERROR(VLOOKUP(CONCATENATE($C172,"-to lingot"),negchutes,$D172-2007,FALSE),0)</f>
        <v>0</v>
      </c>
      <c r="AS172">
        <f>IF(AR172=0,0,AP172*VLOOKUP(CONCATENATE($C172,"-ac massif"),negchutes,$D172-2007,FALSE))</f>
        <v>0</v>
      </c>
      <c r="AT172">
        <f>IF(AR172=0,0,AQ172*VLOOKUP(CONCATENATE($C172,"-ac copeaux"),negchutes,$D172-2007,FALSE))</f>
        <v>0</v>
      </c>
      <c r="AU172">
        <f t="shared" si="180"/>
        <v>80.182856249999986</v>
      </c>
      <c r="AV172">
        <f>IFERROR(VLOOKUP(CONCATENATE(C172,"-px lingot"),negchutes,D172-2007,FALSE),0)*AM172</f>
        <v>0</v>
      </c>
      <c r="AW172">
        <f>AN172*VLOOKUP("Marché 1",pxlingot,D172-2010,FALSE)</f>
        <v>1383.1728125000002</v>
      </c>
      <c r="AX172">
        <f t="shared" si="157"/>
        <v>24.187697004132232</v>
      </c>
      <c r="AY172" t="str">
        <f t="shared" si="181"/>
        <v>VAR</v>
      </c>
      <c r="AZ172">
        <f t="shared" si="182"/>
        <v>5.1730874999999994</v>
      </c>
      <c r="BA172">
        <f>MAX(VLOOKUP(VLOOKUP(C172,descmarche,28,FALSE),pxlingot,D172-2010,FALSE),AX172)</f>
        <v>24.187697004132232</v>
      </c>
      <c r="BB172">
        <f t="shared" si="158"/>
        <v>1463.3556687499999</v>
      </c>
      <c r="BC172" t="str">
        <f t="shared" si="183"/>
        <v>Circ 1</v>
      </c>
    </row>
    <row r="173" spans="1:55" x14ac:dyDescent="0.25">
      <c r="A173" s="5" t="s">
        <v>69</v>
      </c>
      <c r="B173" s="4" t="s">
        <v>49</v>
      </c>
      <c r="C173" t="str">
        <f t="shared" si="160"/>
        <v>EcoTi-08</v>
      </c>
      <c r="D173">
        <v>2019</v>
      </c>
      <c r="E173">
        <v>50</v>
      </c>
      <c r="F173" t="str">
        <f t="shared" si="126"/>
        <v>DP Militaire</v>
      </c>
      <c r="G173" t="str">
        <f t="shared" si="161"/>
        <v>Défense source EcoTi</v>
      </c>
      <c r="H173" t="str">
        <f t="shared" si="162"/>
        <v>Aval UKAD</v>
      </c>
      <c r="I173">
        <f t="shared" si="163"/>
        <v>5</v>
      </c>
      <c r="J173">
        <f t="shared" si="164"/>
        <v>1210</v>
      </c>
      <c r="K173">
        <f t="shared" si="165"/>
        <v>50</v>
      </c>
      <c r="L173">
        <f t="shared" si="166"/>
        <v>60.5</v>
      </c>
      <c r="M173">
        <f t="shared" si="167"/>
        <v>2.6249999999999996</v>
      </c>
      <c r="N173">
        <f t="shared" si="168"/>
        <v>2.8874999999999997</v>
      </c>
      <c r="O173" t="str">
        <f t="shared" si="169"/>
        <v>Circ 1</v>
      </c>
      <c r="P173">
        <f>VLOOKUP(O173,pxmassif,D173-2010,FALSE)*M173</f>
        <v>2.6249999999999996</v>
      </c>
      <c r="Q173">
        <f>VLOOKUP(O173,pxcopeau,D173-2010,FALSE)*N173</f>
        <v>1.7324999999999997</v>
      </c>
      <c r="R173" t="str">
        <f t="shared" si="170"/>
        <v>BA pour UKAD</v>
      </c>
      <c r="S173">
        <f t="shared" si="171"/>
        <v>0</v>
      </c>
      <c r="T173">
        <f t="shared" si="172"/>
        <v>0</v>
      </c>
      <c r="U173" t="str">
        <f t="shared" si="173"/>
        <v>Circ 1</v>
      </c>
      <c r="V173">
        <f>VLOOKUP(U173,pxmassif,$D173-2010,FALSE)*S173</f>
        <v>0</v>
      </c>
      <c r="W173">
        <f>VLOOKUP(U173,pxcopeau,$D173-2010,FALSE)*T173</f>
        <v>0</v>
      </c>
      <c r="X173" t="str">
        <f t="shared" si="174"/>
        <v>Client</v>
      </c>
      <c r="Y173">
        <f t="shared" si="175"/>
        <v>0</v>
      </c>
      <c r="Z173">
        <f t="shared" si="176"/>
        <v>0</v>
      </c>
      <c r="AA173" t="str">
        <f t="shared" si="177"/>
        <v>Circ 1</v>
      </c>
      <c r="AB173">
        <f>VLOOKUP(AA173,pxmassif,$D173-2010,FALSE)*Y173</f>
        <v>0</v>
      </c>
      <c r="AC173">
        <f>VLOOKUP(AA173,pxcopeau,$D173-2010,FALSE)*Z173</f>
        <v>0</v>
      </c>
      <c r="AD173">
        <f t="shared" si="148"/>
        <v>2.6249999999999996</v>
      </c>
      <c r="AE173">
        <f t="shared" si="149"/>
        <v>2.8874999999999997</v>
      </c>
      <c r="AF173">
        <f t="shared" si="150"/>
        <v>5.5124999999999993</v>
      </c>
      <c r="AG173">
        <f t="shared" si="151"/>
        <v>0</v>
      </c>
      <c r="AH173">
        <f t="shared" si="152"/>
        <v>0</v>
      </c>
      <c r="AI173">
        <f t="shared" si="153"/>
        <v>2.6249999999999996</v>
      </c>
      <c r="AJ173">
        <f t="shared" si="154"/>
        <v>2.8874999999999997</v>
      </c>
      <c r="AK173">
        <f t="shared" si="178"/>
        <v>5.1730874999999994</v>
      </c>
      <c r="AL173">
        <f t="shared" si="179"/>
        <v>55.326912500000006</v>
      </c>
      <c r="AM173">
        <f>IFERROR(MIN(AL173,VLOOKUP(CONCATENATE(C173,"-to lingot"),negchutes,D173-2007,FALSE)),0)</f>
        <v>0</v>
      </c>
      <c r="AN173">
        <f t="shared" si="155"/>
        <v>55.326912500000006</v>
      </c>
      <c r="AO173" t="str">
        <f t="shared" si="184"/>
        <v>Circ 1</v>
      </c>
      <c r="AP173">
        <f>IF(AR173=0,0,IFERROR(VLOOKUP(CONCATENATE($C173,"-to massif"),negchutes,$D173-2007,FALSE),0)*AM173/AR173)</f>
        <v>0</v>
      </c>
      <c r="AQ173">
        <f>IF(AR173=0,0,IFERROR(VLOOKUP(CONCATENATE($C173,"-to copeaux"),negchutes,$D173-2007,FALSE),0)*AM173/AR173)</f>
        <v>0</v>
      </c>
      <c r="AR173">
        <f>IFERROR(VLOOKUP(CONCATENATE($C173,"-to lingot"),negchutes,$D173-2007,FALSE),0)</f>
        <v>0</v>
      </c>
      <c r="AS173">
        <f>IF(AR173=0,0,AP173*VLOOKUP(CONCATENATE($C173,"-ac massif"),negchutes,$D173-2007,FALSE))</f>
        <v>0</v>
      </c>
      <c r="AT173">
        <f>IF(AR173=0,0,AQ173*VLOOKUP(CONCATENATE($C173,"-ac copeaux"),negchutes,$D173-2007,FALSE))</f>
        <v>0</v>
      </c>
      <c r="AU173">
        <f t="shared" si="180"/>
        <v>80.182856249999986</v>
      </c>
      <c r="AV173">
        <f>IFERROR(VLOOKUP(CONCATENATE(C173,"-px lingot"),negchutes,D173-2007,FALSE),0)*AM173</f>
        <v>0</v>
      </c>
      <c r="AW173">
        <f>AN173*VLOOKUP("Marché 1",pxlingot,D173-2010,FALSE)</f>
        <v>1383.1728125000002</v>
      </c>
      <c r="AX173">
        <f t="shared" si="157"/>
        <v>24.187697004132232</v>
      </c>
      <c r="AY173" t="str">
        <f t="shared" si="181"/>
        <v>VAR</v>
      </c>
      <c r="AZ173">
        <f t="shared" si="182"/>
        <v>5.1730874999999994</v>
      </c>
      <c r="BA173">
        <f>MAX(VLOOKUP(VLOOKUP(C173,descmarche,28,FALSE),pxlingot,D173-2010,FALSE),AX173)</f>
        <v>24.187697004132232</v>
      </c>
      <c r="BB173">
        <f t="shared" si="158"/>
        <v>1463.3556687499999</v>
      </c>
      <c r="BC173" t="str">
        <f t="shared" si="183"/>
        <v>Circ 1</v>
      </c>
    </row>
    <row r="174" spans="1:55" x14ac:dyDescent="0.25">
      <c r="A174" s="5" t="s">
        <v>69</v>
      </c>
      <c r="B174" s="4" t="s">
        <v>49</v>
      </c>
      <c r="C174" t="str">
        <f t="shared" si="160"/>
        <v>EcoTi-08</v>
      </c>
      <c r="D174">
        <v>2020</v>
      </c>
      <c r="E174">
        <v>50</v>
      </c>
      <c r="F174" t="str">
        <f t="shared" si="126"/>
        <v>DP Militaire</v>
      </c>
      <c r="G174" t="str">
        <f t="shared" si="161"/>
        <v>Défense source EcoTi</v>
      </c>
      <c r="H174" t="str">
        <f t="shared" si="162"/>
        <v>Aval UKAD</v>
      </c>
      <c r="I174">
        <f t="shared" si="163"/>
        <v>5</v>
      </c>
      <c r="J174">
        <f t="shared" si="164"/>
        <v>1210</v>
      </c>
      <c r="K174">
        <f t="shared" si="165"/>
        <v>50</v>
      </c>
      <c r="L174">
        <f t="shared" si="166"/>
        <v>60.5</v>
      </c>
      <c r="M174">
        <f t="shared" si="167"/>
        <v>2.6249999999999996</v>
      </c>
      <c r="N174">
        <f t="shared" si="168"/>
        <v>2.8874999999999997</v>
      </c>
      <c r="O174" t="str">
        <f t="shared" si="169"/>
        <v>Circ 1</v>
      </c>
      <c r="P174">
        <f>VLOOKUP(O174,pxmassif,D174-2010,FALSE)*M174</f>
        <v>2.6249999999999996</v>
      </c>
      <c r="Q174">
        <f>VLOOKUP(O174,pxcopeau,D174-2010,FALSE)*N174</f>
        <v>1.7324999999999997</v>
      </c>
      <c r="R174" t="str">
        <f t="shared" si="170"/>
        <v>BA pour UKAD</v>
      </c>
      <c r="S174">
        <f t="shared" si="171"/>
        <v>0</v>
      </c>
      <c r="T174">
        <f t="shared" si="172"/>
        <v>0</v>
      </c>
      <c r="U174" t="str">
        <f t="shared" si="173"/>
        <v>Circ 1</v>
      </c>
      <c r="V174">
        <f>VLOOKUP(U174,pxmassif,$D174-2010,FALSE)*S174</f>
        <v>0</v>
      </c>
      <c r="W174">
        <f>VLOOKUP(U174,pxcopeau,$D174-2010,FALSE)*T174</f>
        <v>0</v>
      </c>
      <c r="X174" t="str">
        <f t="shared" si="174"/>
        <v>Client</v>
      </c>
      <c r="Y174">
        <f t="shared" si="175"/>
        <v>0</v>
      </c>
      <c r="Z174">
        <f t="shared" si="176"/>
        <v>0</v>
      </c>
      <c r="AA174" t="str">
        <f t="shared" si="177"/>
        <v>Circ 1</v>
      </c>
      <c r="AB174">
        <f>VLOOKUP(AA174,pxmassif,$D174-2010,FALSE)*Y174</f>
        <v>0</v>
      </c>
      <c r="AC174">
        <f>VLOOKUP(AA174,pxcopeau,$D174-2010,FALSE)*Z174</f>
        <v>0</v>
      </c>
      <c r="AD174">
        <f t="shared" si="148"/>
        <v>2.6249999999999996</v>
      </c>
      <c r="AE174">
        <f t="shared" si="149"/>
        <v>2.8874999999999997</v>
      </c>
      <c r="AF174">
        <f t="shared" si="150"/>
        <v>5.5124999999999993</v>
      </c>
      <c r="AG174">
        <f t="shared" si="151"/>
        <v>0</v>
      </c>
      <c r="AH174">
        <f t="shared" si="152"/>
        <v>0</v>
      </c>
      <c r="AI174">
        <f t="shared" si="153"/>
        <v>2.6249999999999996</v>
      </c>
      <c r="AJ174">
        <f t="shared" si="154"/>
        <v>2.8874999999999997</v>
      </c>
      <c r="AK174">
        <f t="shared" si="178"/>
        <v>5.1730874999999994</v>
      </c>
      <c r="AL174">
        <f t="shared" si="179"/>
        <v>55.326912500000006</v>
      </c>
      <c r="AM174">
        <f>IFERROR(MIN(AL174,VLOOKUP(CONCATENATE(C174,"-to lingot"),negchutes,D174-2007,FALSE)),0)</f>
        <v>0</v>
      </c>
      <c r="AN174">
        <f t="shared" si="155"/>
        <v>55.326912500000006</v>
      </c>
      <c r="AO174" t="str">
        <f t="shared" si="184"/>
        <v>Circ 1</v>
      </c>
      <c r="AP174">
        <f>IF(AR174=0,0,IFERROR(VLOOKUP(CONCATENATE($C174,"-to massif"),negchutes,$D174-2007,FALSE),0)*AM174/AR174)</f>
        <v>0</v>
      </c>
      <c r="AQ174">
        <f>IF(AR174=0,0,IFERROR(VLOOKUP(CONCATENATE($C174,"-to copeaux"),negchutes,$D174-2007,FALSE),0)*AM174/AR174)</f>
        <v>0</v>
      </c>
      <c r="AR174">
        <f>IFERROR(VLOOKUP(CONCATENATE($C174,"-to lingot"),negchutes,$D174-2007,FALSE),0)</f>
        <v>0</v>
      </c>
      <c r="AS174">
        <f>IF(AR174=0,0,AP174*VLOOKUP(CONCATENATE($C174,"-ac massif"),negchutes,$D174-2007,FALSE))</f>
        <v>0</v>
      </c>
      <c r="AT174">
        <f>IF(AR174=0,0,AQ174*VLOOKUP(CONCATENATE($C174,"-ac copeaux"),negchutes,$D174-2007,FALSE))</f>
        <v>0</v>
      </c>
      <c r="AU174">
        <f t="shared" si="180"/>
        <v>80.182856249999986</v>
      </c>
      <c r="AV174">
        <f>IFERROR(VLOOKUP(CONCATENATE(C174,"-px lingot"),negchutes,D174-2007,FALSE),0)*AM174</f>
        <v>0</v>
      </c>
      <c r="AW174">
        <f>AN174*VLOOKUP("Marché 1",pxlingot,D174-2010,FALSE)</f>
        <v>1383.1728125000002</v>
      </c>
      <c r="AX174">
        <f t="shared" si="157"/>
        <v>24.187697004132232</v>
      </c>
      <c r="AY174" t="str">
        <f t="shared" si="181"/>
        <v>VAR</v>
      </c>
      <c r="AZ174">
        <f t="shared" si="182"/>
        <v>5.1730874999999994</v>
      </c>
      <c r="BA174">
        <f>MAX(VLOOKUP(VLOOKUP(C174,descmarche,28,FALSE),pxlingot,D174-2010,FALSE),AX174)</f>
        <v>24.187697004132232</v>
      </c>
      <c r="BB174">
        <f t="shared" si="158"/>
        <v>1463.3556687499999</v>
      </c>
      <c r="BC174" t="str">
        <f t="shared" si="183"/>
        <v>Circ 1</v>
      </c>
    </row>
    <row r="175" spans="1:55" x14ac:dyDescent="0.25">
      <c r="A175" s="5" t="s">
        <v>69</v>
      </c>
      <c r="B175" s="4" t="s">
        <v>49</v>
      </c>
      <c r="C175" t="str">
        <f t="shared" si="160"/>
        <v>EcoTi-08</v>
      </c>
      <c r="D175">
        <v>2021</v>
      </c>
      <c r="E175">
        <v>50</v>
      </c>
      <c r="F175" t="str">
        <f t="shared" si="126"/>
        <v>DP Militaire</v>
      </c>
      <c r="G175" t="str">
        <f t="shared" si="161"/>
        <v>Défense source EcoTi</v>
      </c>
      <c r="H175" t="str">
        <f t="shared" si="162"/>
        <v>Aval UKAD</v>
      </c>
      <c r="I175">
        <f t="shared" si="163"/>
        <v>5</v>
      </c>
      <c r="J175">
        <f t="shared" si="164"/>
        <v>1210</v>
      </c>
      <c r="K175">
        <f t="shared" si="165"/>
        <v>50</v>
      </c>
      <c r="L175">
        <f t="shared" si="166"/>
        <v>60.5</v>
      </c>
      <c r="M175">
        <f t="shared" si="167"/>
        <v>2.6249999999999996</v>
      </c>
      <c r="N175">
        <f t="shared" si="168"/>
        <v>2.8874999999999997</v>
      </c>
      <c r="O175" t="str">
        <f t="shared" si="169"/>
        <v>Circ 1</v>
      </c>
      <c r="P175">
        <f>VLOOKUP(O175,pxmassif,D175-2010,FALSE)*M175</f>
        <v>2.6249999999999996</v>
      </c>
      <c r="Q175">
        <f>VLOOKUP(O175,pxcopeau,D175-2010,FALSE)*N175</f>
        <v>1.7324999999999997</v>
      </c>
      <c r="R175" t="str">
        <f t="shared" si="170"/>
        <v>BA pour UKAD</v>
      </c>
      <c r="S175">
        <f t="shared" si="171"/>
        <v>0</v>
      </c>
      <c r="T175">
        <f t="shared" si="172"/>
        <v>0</v>
      </c>
      <c r="U175" t="str">
        <f t="shared" si="173"/>
        <v>Circ 1</v>
      </c>
      <c r="V175">
        <f>VLOOKUP(U175,pxmassif,$D175-2010,FALSE)*S175</f>
        <v>0</v>
      </c>
      <c r="W175">
        <f>VLOOKUP(U175,pxcopeau,$D175-2010,FALSE)*T175</f>
        <v>0</v>
      </c>
      <c r="X175" t="str">
        <f t="shared" si="174"/>
        <v>Client</v>
      </c>
      <c r="Y175">
        <f t="shared" si="175"/>
        <v>0</v>
      </c>
      <c r="Z175">
        <f t="shared" si="176"/>
        <v>0</v>
      </c>
      <c r="AA175" t="str">
        <f t="shared" si="177"/>
        <v>Circ 1</v>
      </c>
      <c r="AB175">
        <f>VLOOKUP(AA175,pxmassif,$D175-2010,FALSE)*Y175</f>
        <v>0</v>
      </c>
      <c r="AC175">
        <f>VLOOKUP(AA175,pxcopeau,$D175-2010,FALSE)*Z175</f>
        <v>0</v>
      </c>
      <c r="AD175">
        <f t="shared" si="148"/>
        <v>2.6249999999999996</v>
      </c>
      <c r="AE175">
        <f t="shared" si="149"/>
        <v>2.8874999999999997</v>
      </c>
      <c r="AF175">
        <f t="shared" si="150"/>
        <v>5.5124999999999993</v>
      </c>
      <c r="AG175">
        <f t="shared" si="151"/>
        <v>0</v>
      </c>
      <c r="AH175">
        <f t="shared" si="152"/>
        <v>0</v>
      </c>
      <c r="AI175">
        <f t="shared" si="153"/>
        <v>2.6249999999999996</v>
      </c>
      <c r="AJ175">
        <f t="shared" si="154"/>
        <v>2.8874999999999997</v>
      </c>
      <c r="AK175">
        <f t="shared" si="178"/>
        <v>5.1730874999999994</v>
      </c>
      <c r="AL175">
        <f t="shared" si="179"/>
        <v>55.326912500000006</v>
      </c>
      <c r="AM175">
        <f>IFERROR(MIN(AL175,VLOOKUP(CONCATENATE(C175,"-to lingot"),negchutes,D175-2007,FALSE)),0)</f>
        <v>0</v>
      </c>
      <c r="AN175">
        <f t="shared" si="155"/>
        <v>55.326912500000006</v>
      </c>
      <c r="AO175" t="str">
        <f t="shared" si="184"/>
        <v>Circ 1</v>
      </c>
      <c r="AP175">
        <f>IF(AR175=0,0,IFERROR(VLOOKUP(CONCATENATE($C175,"-to massif"),negchutes,$D175-2007,FALSE),0)*AM175/AR175)</f>
        <v>0</v>
      </c>
      <c r="AQ175">
        <f>IF(AR175=0,0,IFERROR(VLOOKUP(CONCATENATE($C175,"-to copeaux"),negchutes,$D175-2007,FALSE),0)*AM175/AR175)</f>
        <v>0</v>
      </c>
      <c r="AR175">
        <f>IFERROR(VLOOKUP(CONCATENATE($C175,"-to lingot"),negchutes,$D175-2007,FALSE),0)</f>
        <v>0</v>
      </c>
      <c r="AS175">
        <f>IF(AR175=0,0,AP175*VLOOKUP(CONCATENATE($C175,"-ac massif"),negchutes,$D175-2007,FALSE))</f>
        <v>0</v>
      </c>
      <c r="AT175">
        <f>IF(AR175=0,0,AQ175*VLOOKUP(CONCATENATE($C175,"-ac copeaux"),negchutes,$D175-2007,FALSE))</f>
        <v>0</v>
      </c>
      <c r="AU175">
        <f t="shared" si="180"/>
        <v>80.182856249999986</v>
      </c>
      <c r="AV175">
        <f>IFERROR(VLOOKUP(CONCATENATE(C175,"-px lingot"),negchutes,D175-2007,FALSE),0)*AM175</f>
        <v>0</v>
      </c>
      <c r="AW175">
        <f>AN175*VLOOKUP("Marché 1",pxlingot,D175-2010,FALSE)</f>
        <v>1383.1728125000002</v>
      </c>
      <c r="AX175">
        <f t="shared" si="157"/>
        <v>24.187697004132232</v>
      </c>
      <c r="AY175" t="str">
        <f t="shared" si="181"/>
        <v>VAR</v>
      </c>
      <c r="AZ175">
        <f t="shared" si="182"/>
        <v>5.1730874999999994</v>
      </c>
      <c r="BA175">
        <f>MAX(VLOOKUP(VLOOKUP(C175,descmarche,28,FALSE),pxlingot,D175-2010,FALSE),AX175)</f>
        <v>24.187697004132232</v>
      </c>
      <c r="BB175">
        <f t="shared" si="158"/>
        <v>1463.3556687499999</v>
      </c>
      <c r="BC175" t="str">
        <f t="shared" si="183"/>
        <v>Circ 1</v>
      </c>
    </row>
    <row r="176" spans="1:55" x14ac:dyDescent="0.25">
      <c r="A176" s="5" t="s">
        <v>69</v>
      </c>
      <c r="B176" s="4" t="s">
        <v>49</v>
      </c>
      <c r="C176" t="str">
        <f t="shared" si="160"/>
        <v>EcoTi-08</v>
      </c>
      <c r="D176">
        <v>2022</v>
      </c>
      <c r="E176">
        <v>50</v>
      </c>
      <c r="F176" t="str">
        <f t="shared" si="126"/>
        <v>DP Militaire</v>
      </c>
      <c r="G176" t="str">
        <f t="shared" si="161"/>
        <v>Défense source EcoTi</v>
      </c>
      <c r="H176" t="str">
        <f t="shared" si="162"/>
        <v>Aval UKAD</v>
      </c>
      <c r="I176">
        <f t="shared" si="163"/>
        <v>5</v>
      </c>
      <c r="J176">
        <f t="shared" si="164"/>
        <v>1210</v>
      </c>
      <c r="K176">
        <f t="shared" si="165"/>
        <v>50</v>
      </c>
      <c r="L176">
        <f t="shared" si="166"/>
        <v>60.5</v>
      </c>
      <c r="M176">
        <f t="shared" si="167"/>
        <v>2.6249999999999996</v>
      </c>
      <c r="N176">
        <f t="shared" si="168"/>
        <v>2.8874999999999997</v>
      </c>
      <c r="O176" t="str">
        <f t="shared" si="169"/>
        <v>Circ 1</v>
      </c>
      <c r="P176">
        <f>VLOOKUP(O176,pxmassif,D176-2010,FALSE)*M176</f>
        <v>2.6249999999999996</v>
      </c>
      <c r="Q176">
        <f>VLOOKUP(O176,pxcopeau,D176-2010,FALSE)*N176</f>
        <v>1.7324999999999997</v>
      </c>
      <c r="R176" t="str">
        <f t="shared" si="170"/>
        <v>BA pour UKAD</v>
      </c>
      <c r="S176">
        <f t="shared" si="171"/>
        <v>0</v>
      </c>
      <c r="T176">
        <f t="shared" si="172"/>
        <v>0</v>
      </c>
      <c r="U176" t="str">
        <f t="shared" si="173"/>
        <v>Circ 1</v>
      </c>
      <c r="V176">
        <f>VLOOKUP(U176,pxmassif,$D176-2010,FALSE)*S176</f>
        <v>0</v>
      </c>
      <c r="W176">
        <f>VLOOKUP(U176,pxcopeau,$D176-2010,FALSE)*T176</f>
        <v>0</v>
      </c>
      <c r="X176" t="str">
        <f t="shared" si="174"/>
        <v>Client</v>
      </c>
      <c r="Y176">
        <f t="shared" si="175"/>
        <v>0</v>
      </c>
      <c r="Z176">
        <f t="shared" si="176"/>
        <v>0</v>
      </c>
      <c r="AA176" t="str">
        <f t="shared" si="177"/>
        <v>Circ 1</v>
      </c>
      <c r="AB176">
        <f>VLOOKUP(AA176,pxmassif,$D176-2010,FALSE)*Y176</f>
        <v>0</v>
      </c>
      <c r="AC176">
        <f>VLOOKUP(AA176,pxcopeau,$D176-2010,FALSE)*Z176</f>
        <v>0</v>
      </c>
      <c r="AD176">
        <f t="shared" si="148"/>
        <v>2.6249999999999996</v>
      </c>
      <c r="AE176">
        <f t="shared" si="149"/>
        <v>2.8874999999999997</v>
      </c>
      <c r="AF176">
        <f t="shared" si="150"/>
        <v>5.5124999999999993</v>
      </c>
      <c r="AG176">
        <f t="shared" si="151"/>
        <v>0</v>
      </c>
      <c r="AH176">
        <f t="shared" si="152"/>
        <v>0</v>
      </c>
      <c r="AI176">
        <f t="shared" si="153"/>
        <v>2.6249999999999996</v>
      </c>
      <c r="AJ176">
        <f t="shared" si="154"/>
        <v>2.8874999999999997</v>
      </c>
      <c r="AK176">
        <f t="shared" si="178"/>
        <v>5.1730874999999994</v>
      </c>
      <c r="AL176">
        <f t="shared" si="179"/>
        <v>55.326912500000006</v>
      </c>
      <c r="AM176">
        <f>IFERROR(MIN(AL176,VLOOKUP(CONCATENATE(C176,"-to lingot"),negchutes,D176-2007,FALSE)),0)</f>
        <v>0</v>
      </c>
      <c r="AN176">
        <f t="shared" si="155"/>
        <v>55.326912500000006</v>
      </c>
      <c r="AO176" t="str">
        <f t="shared" si="184"/>
        <v>Circ 1</v>
      </c>
      <c r="AP176">
        <f>IF(AR176=0,0,IFERROR(VLOOKUP(CONCATENATE($C176,"-to massif"),negchutes,$D176-2007,FALSE),0)*AM176/AR176)</f>
        <v>0</v>
      </c>
      <c r="AQ176">
        <f>IF(AR176=0,0,IFERROR(VLOOKUP(CONCATENATE($C176,"-to copeaux"),negchutes,$D176-2007,FALSE),0)*AM176/AR176)</f>
        <v>0</v>
      </c>
      <c r="AR176">
        <f>IFERROR(VLOOKUP(CONCATENATE($C176,"-to lingot"),negchutes,$D176-2007,FALSE),0)</f>
        <v>0</v>
      </c>
      <c r="AS176">
        <f>IF(AR176=0,0,AP176*VLOOKUP(CONCATENATE($C176,"-ac massif"),negchutes,$D176-2007,FALSE))</f>
        <v>0</v>
      </c>
      <c r="AT176">
        <f>IF(AR176=0,0,AQ176*VLOOKUP(CONCATENATE($C176,"-ac copeaux"),negchutes,$D176-2007,FALSE))</f>
        <v>0</v>
      </c>
      <c r="AU176">
        <f t="shared" si="180"/>
        <v>80.182856249999986</v>
      </c>
      <c r="AV176">
        <f>IFERROR(VLOOKUP(CONCATENATE(C176,"-px lingot"),negchutes,D176-2007,FALSE),0)*AM176</f>
        <v>0</v>
      </c>
      <c r="AW176">
        <f>AN176*VLOOKUP("Marché 1",pxlingot,D176-2010,FALSE)</f>
        <v>1383.1728125000002</v>
      </c>
      <c r="AX176">
        <f t="shared" si="157"/>
        <v>24.187697004132232</v>
      </c>
      <c r="AY176" t="str">
        <f t="shared" si="181"/>
        <v>VAR</v>
      </c>
      <c r="AZ176">
        <f t="shared" si="182"/>
        <v>5.1730874999999994</v>
      </c>
      <c r="BA176">
        <f>MAX(VLOOKUP(VLOOKUP(C176,descmarche,28,FALSE),pxlingot,D176-2010,FALSE),AX176)</f>
        <v>24.187697004132232</v>
      </c>
      <c r="BB176">
        <f t="shared" si="158"/>
        <v>1463.3556687499999</v>
      </c>
      <c r="BC176" t="str">
        <f t="shared" si="183"/>
        <v>Circ 1</v>
      </c>
    </row>
    <row r="177" spans="1:55" x14ac:dyDescent="0.25">
      <c r="A177" s="5" t="s">
        <v>69</v>
      </c>
      <c r="B177" s="4" t="s">
        <v>49</v>
      </c>
      <c r="C177" t="str">
        <f t="shared" si="160"/>
        <v>EcoTi-08</v>
      </c>
      <c r="D177">
        <v>2023</v>
      </c>
      <c r="E177">
        <v>50</v>
      </c>
      <c r="F177" t="str">
        <f t="shared" si="126"/>
        <v>DP Militaire</v>
      </c>
      <c r="G177" t="str">
        <f t="shared" si="161"/>
        <v>Défense source EcoTi</v>
      </c>
      <c r="H177" t="str">
        <f t="shared" si="162"/>
        <v>Aval UKAD</v>
      </c>
      <c r="I177">
        <f t="shared" si="163"/>
        <v>5</v>
      </c>
      <c r="J177">
        <f t="shared" si="164"/>
        <v>1210</v>
      </c>
      <c r="K177">
        <f t="shared" si="165"/>
        <v>50</v>
      </c>
      <c r="L177">
        <f t="shared" si="166"/>
        <v>60.5</v>
      </c>
      <c r="M177">
        <f t="shared" si="167"/>
        <v>2.6249999999999996</v>
      </c>
      <c r="N177">
        <f t="shared" si="168"/>
        <v>2.8874999999999997</v>
      </c>
      <c r="O177" t="str">
        <f t="shared" si="169"/>
        <v>Circ 1</v>
      </c>
      <c r="P177">
        <f>VLOOKUP(O177,pxmassif,D177-2010,FALSE)*M177</f>
        <v>2.6249999999999996</v>
      </c>
      <c r="Q177">
        <f>VLOOKUP(O177,pxcopeau,D177-2010,FALSE)*N177</f>
        <v>1.7324999999999997</v>
      </c>
      <c r="R177" t="str">
        <f t="shared" si="170"/>
        <v>BA pour UKAD</v>
      </c>
      <c r="S177">
        <f t="shared" si="171"/>
        <v>0</v>
      </c>
      <c r="T177">
        <f t="shared" si="172"/>
        <v>0</v>
      </c>
      <c r="U177" t="str">
        <f t="shared" si="173"/>
        <v>Circ 1</v>
      </c>
      <c r="V177">
        <f>VLOOKUP(U177,pxmassif,$D177-2010,FALSE)*S177</f>
        <v>0</v>
      </c>
      <c r="W177">
        <f>VLOOKUP(U177,pxcopeau,$D177-2010,FALSE)*T177</f>
        <v>0</v>
      </c>
      <c r="X177" t="str">
        <f t="shared" si="174"/>
        <v>Client</v>
      </c>
      <c r="Y177">
        <f t="shared" si="175"/>
        <v>0</v>
      </c>
      <c r="Z177">
        <f t="shared" si="176"/>
        <v>0</v>
      </c>
      <c r="AA177" t="str">
        <f t="shared" si="177"/>
        <v>Circ 1</v>
      </c>
      <c r="AB177">
        <f>VLOOKUP(AA177,pxmassif,$D177-2010,FALSE)*Y177</f>
        <v>0</v>
      </c>
      <c r="AC177">
        <f>VLOOKUP(AA177,pxcopeau,$D177-2010,FALSE)*Z177</f>
        <v>0</v>
      </c>
      <c r="AD177">
        <f t="shared" si="148"/>
        <v>2.6249999999999996</v>
      </c>
      <c r="AE177">
        <f t="shared" si="149"/>
        <v>2.8874999999999997</v>
      </c>
      <c r="AF177">
        <f t="shared" si="150"/>
        <v>5.5124999999999993</v>
      </c>
      <c r="AG177">
        <f t="shared" si="151"/>
        <v>0</v>
      </c>
      <c r="AH177">
        <f t="shared" si="152"/>
        <v>0</v>
      </c>
      <c r="AI177">
        <f t="shared" si="153"/>
        <v>2.6249999999999996</v>
      </c>
      <c r="AJ177">
        <f t="shared" si="154"/>
        <v>2.8874999999999997</v>
      </c>
      <c r="AK177">
        <f t="shared" si="178"/>
        <v>5.1730874999999994</v>
      </c>
      <c r="AL177">
        <f t="shared" si="179"/>
        <v>55.326912500000006</v>
      </c>
      <c r="AM177">
        <f>IFERROR(MIN(AL177,VLOOKUP(CONCATENATE(C177,"-to lingot"),negchutes,D177-2007,FALSE)),0)</f>
        <v>0</v>
      </c>
      <c r="AN177">
        <f t="shared" si="155"/>
        <v>55.326912500000006</v>
      </c>
      <c r="AO177" t="str">
        <f t="shared" si="184"/>
        <v>Circ 1</v>
      </c>
      <c r="AP177">
        <f>IF(AR177=0,0,IFERROR(VLOOKUP(CONCATENATE($C177,"-to massif"),negchutes,$D177-2007,FALSE),0)*AM177/AR177)</f>
        <v>0</v>
      </c>
      <c r="AQ177">
        <f>IF(AR177=0,0,IFERROR(VLOOKUP(CONCATENATE($C177,"-to copeaux"),negchutes,$D177-2007,FALSE),0)*AM177/AR177)</f>
        <v>0</v>
      </c>
      <c r="AR177">
        <f>IFERROR(VLOOKUP(CONCATENATE($C177,"-to lingot"),negchutes,$D177-2007,FALSE),0)</f>
        <v>0</v>
      </c>
      <c r="AS177">
        <f>IF(AR177=0,0,AP177*VLOOKUP(CONCATENATE($C177,"-ac massif"),negchutes,$D177-2007,FALSE))</f>
        <v>0</v>
      </c>
      <c r="AT177">
        <f>IF(AR177=0,0,AQ177*VLOOKUP(CONCATENATE($C177,"-ac copeaux"),negchutes,$D177-2007,FALSE))</f>
        <v>0</v>
      </c>
      <c r="AU177">
        <f t="shared" si="180"/>
        <v>80.182856249999986</v>
      </c>
      <c r="AV177">
        <f>IFERROR(VLOOKUP(CONCATENATE(C177,"-px lingot"),negchutes,D177-2007,FALSE),0)*AM177</f>
        <v>0</v>
      </c>
      <c r="AW177">
        <f>AN177*VLOOKUP("Marché 1",pxlingot,D177-2010,FALSE)</f>
        <v>1383.1728125000002</v>
      </c>
      <c r="AX177">
        <f t="shared" si="157"/>
        <v>24.187697004132232</v>
      </c>
      <c r="AY177" t="str">
        <f t="shared" si="181"/>
        <v>VAR</v>
      </c>
      <c r="AZ177">
        <f t="shared" si="182"/>
        <v>5.1730874999999994</v>
      </c>
      <c r="BA177">
        <f>MAX(VLOOKUP(VLOOKUP(C177,descmarche,28,FALSE),pxlingot,D177-2010,FALSE),AX177)</f>
        <v>24.187697004132232</v>
      </c>
      <c r="BB177">
        <f t="shared" si="158"/>
        <v>1463.3556687499999</v>
      </c>
      <c r="BC177" t="str">
        <f t="shared" si="183"/>
        <v>Circ 1</v>
      </c>
    </row>
    <row r="178" spans="1:55" x14ac:dyDescent="0.25">
      <c r="A178" s="5" t="s">
        <v>69</v>
      </c>
      <c r="B178" s="4" t="s">
        <v>49</v>
      </c>
      <c r="C178" t="str">
        <f t="shared" si="160"/>
        <v>EcoTi-08</v>
      </c>
      <c r="D178">
        <v>2024</v>
      </c>
      <c r="E178">
        <v>50</v>
      </c>
      <c r="F178" t="str">
        <f t="shared" si="126"/>
        <v>DP Militaire</v>
      </c>
      <c r="G178" t="str">
        <f t="shared" si="161"/>
        <v>Défense source EcoTi</v>
      </c>
      <c r="H178" t="str">
        <f t="shared" si="162"/>
        <v>Aval UKAD</v>
      </c>
      <c r="I178">
        <f t="shared" si="163"/>
        <v>5</v>
      </c>
      <c r="J178">
        <f t="shared" si="164"/>
        <v>1210</v>
      </c>
      <c r="K178">
        <f t="shared" si="165"/>
        <v>50</v>
      </c>
      <c r="L178">
        <f t="shared" si="166"/>
        <v>60.5</v>
      </c>
      <c r="M178">
        <f t="shared" si="167"/>
        <v>2.6249999999999996</v>
      </c>
      <c r="N178">
        <f t="shared" si="168"/>
        <v>2.8874999999999997</v>
      </c>
      <c r="O178" t="str">
        <f t="shared" si="169"/>
        <v>Circ 1</v>
      </c>
      <c r="P178">
        <f>VLOOKUP(O178,pxmassif,D178-2010,FALSE)*M178</f>
        <v>2.6249999999999996</v>
      </c>
      <c r="Q178">
        <f>VLOOKUP(O178,pxcopeau,D178-2010,FALSE)*N178</f>
        <v>1.7324999999999997</v>
      </c>
      <c r="R178" t="str">
        <f t="shared" si="170"/>
        <v>BA pour UKAD</v>
      </c>
      <c r="S178">
        <f t="shared" si="171"/>
        <v>0</v>
      </c>
      <c r="T178">
        <f t="shared" si="172"/>
        <v>0</v>
      </c>
      <c r="U178" t="str">
        <f t="shared" si="173"/>
        <v>Circ 1</v>
      </c>
      <c r="V178">
        <f>VLOOKUP(U178,pxmassif,$D178-2010,FALSE)*S178</f>
        <v>0</v>
      </c>
      <c r="W178">
        <f>VLOOKUP(U178,pxcopeau,$D178-2010,FALSE)*T178</f>
        <v>0</v>
      </c>
      <c r="X178" t="str">
        <f t="shared" si="174"/>
        <v>Client</v>
      </c>
      <c r="Y178">
        <f t="shared" si="175"/>
        <v>0</v>
      </c>
      <c r="Z178">
        <f t="shared" si="176"/>
        <v>0</v>
      </c>
      <c r="AA178" t="str">
        <f t="shared" si="177"/>
        <v>Circ 1</v>
      </c>
      <c r="AB178">
        <f>VLOOKUP(AA178,pxmassif,$D178-2010,FALSE)*Y178</f>
        <v>0</v>
      </c>
      <c r="AC178">
        <f>VLOOKUP(AA178,pxcopeau,$D178-2010,FALSE)*Z178</f>
        <v>0</v>
      </c>
      <c r="AD178">
        <f t="shared" si="148"/>
        <v>2.6249999999999996</v>
      </c>
      <c r="AE178">
        <f t="shared" si="149"/>
        <v>2.8874999999999997</v>
      </c>
      <c r="AF178">
        <f t="shared" si="150"/>
        <v>5.5124999999999993</v>
      </c>
      <c r="AG178">
        <f t="shared" si="151"/>
        <v>0</v>
      </c>
      <c r="AH178">
        <f t="shared" si="152"/>
        <v>0</v>
      </c>
      <c r="AI178">
        <f t="shared" si="153"/>
        <v>2.6249999999999996</v>
      </c>
      <c r="AJ178">
        <f t="shared" si="154"/>
        <v>2.8874999999999997</v>
      </c>
      <c r="AK178">
        <f t="shared" si="178"/>
        <v>5.1730874999999994</v>
      </c>
      <c r="AL178">
        <f t="shared" si="179"/>
        <v>55.326912500000006</v>
      </c>
      <c r="AM178">
        <f>IFERROR(MIN(AL178,VLOOKUP(CONCATENATE(C178,"-to lingot"),negchutes,D178-2007,FALSE)),0)</f>
        <v>0</v>
      </c>
      <c r="AN178">
        <f t="shared" si="155"/>
        <v>55.326912500000006</v>
      </c>
      <c r="AO178" t="str">
        <f t="shared" si="184"/>
        <v>Circ 1</v>
      </c>
      <c r="AP178">
        <f>IF(AR178=0,0,IFERROR(VLOOKUP(CONCATENATE($C178,"-to massif"),negchutes,$D178-2007,FALSE),0)*AM178/AR178)</f>
        <v>0</v>
      </c>
      <c r="AQ178">
        <f>IF(AR178=0,0,IFERROR(VLOOKUP(CONCATENATE($C178,"-to copeaux"),negchutes,$D178-2007,FALSE),0)*AM178/AR178)</f>
        <v>0</v>
      </c>
      <c r="AR178">
        <f>IFERROR(VLOOKUP(CONCATENATE($C178,"-to lingot"),negchutes,$D178-2007,FALSE),0)</f>
        <v>0</v>
      </c>
      <c r="AS178">
        <f>IF(AR178=0,0,AP178*VLOOKUP(CONCATENATE($C178,"-ac massif"),negchutes,$D178-2007,FALSE))</f>
        <v>0</v>
      </c>
      <c r="AT178">
        <f>IF(AR178=0,0,AQ178*VLOOKUP(CONCATENATE($C178,"-ac copeaux"),negchutes,$D178-2007,FALSE))</f>
        <v>0</v>
      </c>
      <c r="AU178">
        <f t="shared" si="180"/>
        <v>80.182856249999986</v>
      </c>
      <c r="AV178">
        <f>IFERROR(VLOOKUP(CONCATENATE(C178,"-px lingot"),negchutes,D178-2007,FALSE),0)*AM178</f>
        <v>0</v>
      </c>
      <c r="AW178">
        <f>AN178*VLOOKUP("Marché 1",pxlingot,D178-2010,FALSE)</f>
        <v>1383.1728125000002</v>
      </c>
      <c r="AX178">
        <f t="shared" si="157"/>
        <v>24.187697004132232</v>
      </c>
      <c r="AY178" t="str">
        <f t="shared" si="181"/>
        <v>VAR</v>
      </c>
      <c r="AZ178">
        <f t="shared" si="182"/>
        <v>5.1730874999999994</v>
      </c>
      <c r="BA178">
        <f>MAX(VLOOKUP(VLOOKUP(C178,descmarche,28,FALSE),pxlingot,D178-2010,FALSE),AX178)</f>
        <v>24.187697004132232</v>
      </c>
      <c r="BB178">
        <f t="shared" si="158"/>
        <v>1463.3556687499999</v>
      </c>
      <c r="BC178" t="str">
        <f t="shared" si="183"/>
        <v>Circ 1</v>
      </c>
    </row>
    <row r="179" spans="1:55" x14ac:dyDescent="0.25">
      <c r="A179" s="5" t="s">
        <v>16</v>
      </c>
      <c r="B179" s="4" t="s">
        <v>98</v>
      </c>
      <c r="C179" t="str">
        <f t="shared" si="160"/>
        <v>UKTMP-09</v>
      </c>
      <c r="D179">
        <v>2012</v>
      </c>
      <c r="E179">
        <v>0</v>
      </c>
      <c r="F179" t="str">
        <f t="shared" si="126"/>
        <v>Airbus hors AD</v>
      </c>
      <c r="G179" t="str">
        <f t="shared" si="161"/>
        <v>Contrat Airbus Structure hors AD</v>
      </c>
      <c r="H179">
        <f t="shared" si="162"/>
        <v>0</v>
      </c>
      <c r="I179">
        <f t="shared" si="163"/>
        <v>5</v>
      </c>
      <c r="J179">
        <f t="shared" si="164"/>
        <v>1210</v>
      </c>
      <c r="K179">
        <f t="shared" si="165"/>
        <v>0</v>
      </c>
      <c r="L179">
        <f t="shared" si="166"/>
        <v>0</v>
      </c>
      <c r="M179">
        <f t="shared" si="167"/>
        <v>0</v>
      </c>
      <c r="N179">
        <f t="shared" si="168"/>
        <v>0</v>
      </c>
      <c r="O179" t="str">
        <f t="shared" si="169"/>
        <v>Marché 1</v>
      </c>
      <c r="P179">
        <f>VLOOKUP(O179,pxmassif,D179-2010,FALSE)*M179</f>
        <v>0</v>
      </c>
      <c r="Q179">
        <f>VLOOKUP(O179,pxcopeau,D179-2010,FALSE)*N179</f>
        <v>0</v>
      </c>
      <c r="R179" t="str">
        <f t="shared" si="170"/>
        <v>SO</v>
      </c>
      <c r="S179">
        <f t="shared" si="171"/>
        <v>0</v>
      </c>
      <c r="T179">
        <f t="shared" si="172"/>
        <v>0</v>
      </c>
      <c r="U179" t="str">
        <f t="shared" si="173"/>
        <v>Marché 1</v>
      </c>
      <c r="V179">
        <f>VLOOKUP(U179,pxmassif,$D179-2010,FALSE)*S179</f>
        <v>0</v>
      </c>
      <c r="W179">
        <f>VLOOKUP(U179,pxcopeau,$D179-2010,FALSE)*T179</f>
        <v>0</v>
      </c>
      <c r="X179" t="str">
        <f t="shared" si="174"/>
        <v>SO</v>
      </c>
      <c r="Y179">
        <f t="shared" si="175"/>
        <v>0</v>
      </c>
      <c r="Z179">
        <f t="shared" si="176"/>
        <v>0</v>
      </c>
      <c r="AA179" t="str">
        <f t="shared" si="177"/>
        <v>Marché 1</v>
      </c>
      <c r="AB179">
        <f>VLOOKUP(AA179,pxmassif,$D179-2010,FALSE)*Y179</f>
        <v>0</v>
      </c>
      <c r="AC179">
        <f>VLOOKUP(AA179,pxcopeau,$D179-2010,FALSE)*Z179</f>
        <v>0</v>
      </c>
      <c r="AD179">
        <f t="shared" si="148"/>
        <v>0</v>
      </c>
      <c r="AE179">
        <f t="shared" si="149"/>
        <v>0</v>
      </c>
      <c r="AF179">
        <f t="shared" si="150"/>
        <v>0</v>
      </c>
      <c r="AG179">
        <f t="shared" si="151"/>
        <v>0</v>
      </c>
      <c r="AH179">
        <f t="shared" si="152"/>
        <v>0</v>
      </c>
      <c r="AI179">
        <f t="shared" si="153"/>
        <v>0</v>
      </c>
      <c r="AJ179">
        <f t="shared" si="154"/>
        <v>0</v>
      </c>
      <c r="AK179">
        <f t="shared" si="178"/>
        <v>0</v>
      </c>
      <c r="AL179">
        <f t="shared" si="179"/>
        <v>0</v>
      </c>
      <c r="AM179">
        <f>IFERROR(MIN(AL179,VLOOKUP(CONCATENATE(C179,"-to lingot"),negchutes,D179-2007,FALSE)),0)</f>
        <v>0</v>
      </c>
      <c r="AN179">
        <f t="shared" si="155"/>
        <v>0</v>
      </c>
      <c r="AO179" t="str">
        <f t="shared" si="184"/>
        <v>SO</v>
      </c>
      <c r="AP179">
        <f>IF(AR179=0,0,IFERROR(VLOOKUP(CONCATENATE($C179,"-to massif"),negchutes,$D179-2007,FALSE),0)*AM179/AR179)</f>
        <v>0</v>
      </c>
      <c r="AQ179">
        <f>IF(AR179=0,0,IFERROR(VLOOKUP(CONCATENATE($C179,"-to copeaux"),negchutes,$D179-2007,FALSE),0)*AM179/AR179)</f>
        <v>0</v>
      </c>
      <c r="AR179">
        <f>IFERROR(VLOOKUP(CONCATENATE($C179,"-to lingot"),negchutes,$D179-2007,FALSE),0)</f>
        <v>0</v>
      </c>
      <c r="AS179">
        <f>IF(AR179=0,0,AP179*VLOOKUP(CONCATENATE($C179,"-ac massif"),negchutes,$D179-2007,FALSE))</f>
        <v>0</v>
      </c>
      <c r="AT179">
        <f>IF(AR179=0,0,AQ179*VLOOKUP(CONCATENATE($C179,"-ac copeaux"),negchutes,$D179-2007,FALSE))</f>
        <v>0</v>
      </c>
      <c r="AU179">
        <f t="shared" si="180"/>
        <v>0</v>
      </c>
      <c r="AV179">
        <f>IFERROR(VLOOKUP(CONCATENATE(C179,"-px lingot"),negchutes,D179-2007,FALSE),0)*AM179</f>
        <v>0</v>
      </c>
      <c r="AW179">
        <f>AN179*VLOOKUP("Marché 1",pxlingot,D179-2010,FALSE)</f>
        <v>0</v>
      </c>
      <c r="AX179">
        <f t="shared" si="157"/>
        <v>0</v>
      </c>
      <c r="AY179" t="str">
        <f t="shared" si="181"/>
        <v>VAR</v>
      </c>
      <c r="AZ179">
        <f t="shared" si="182"/>
        <v>0</v>
      </c>
      <c r="BA179">
        <f>MAX(VLOOKUP(VLOOKUP(C179,descmarche,28,FALSE),pxlingot,D179-2010,FALSE),AX179)</f>
        <v>0</v>
      </c>
      <c r="BB179">
        <f t="shared" si="158"/>
        <v>0</v>
      </c>
      <c r="BC179" t="str">
        <f t="shared" si="183"/>
        <v>SO</v>
      </c>
    </row>
    <row r="180" spans="1:55" x14ac:dyDescent="0.25">
      <c r="A180" s="5" t="s">
        <v>16</v>
      </c>
      <c r="B180" s="4" t="s">
        <v>98</v>
      </c>
      <c r="C180" t="str">
        <f t="shared" si="160"/>
        <v>UKTMP-09</v>
      </c>
      <c r="D180">
        <v>2013</v>
      </c>
      <c r="E180">
        <v>0</v>
      </c>
      <c r="F180" t="str">
        <f t="shared" si="126"/>
        <v>Airbus hors AD</v>
      </c>
      <c r="G180" t="str">
        <f t="shared" si="161"/>
        <v>Contrat Airbus Structure hors AD</v>
      </c>
      <c r="H180">
        <f t="shared" si="162"/>
        <v>0</v>
      </c>
      <c r="I180">
        <f t="shared" si="163"/>
        <v>5</v>
      </c>
      <c r="J180">
        <f t="shared" si="164"/>
        <v>1210</v>
      </c>
      <c r="K180">
        <f t="shared" si="165"/>
        <v>0</v>
      </c>
      <c r="L180">
        <f t="shared" si="166"/>
        <v>0</v>
      </c>
      <c r="M180">
        <f t="shared" si="167"/>
        <v>0</v>
      </c>
      <c r="N180">
        <f t="shared" si="168"/>
        <v>0</v>
      </c>
      <c r="O180" t="str">
        <f t="shared" si="169"/>
        <v>Marché 1</v>
      </c>
      <c r="P180">
        <f>VLOOKUP(O180,pxmassif,D180-2010,FALSE)*M180</f>
        <v>0</v>
      </c>
      <c r="Q180">
        <f>VLOOKUP(O180,pxcopeau,D180-2010,FALSE)*N180</f>
        <v>0</v>
      </c>
      <c r="R180" t="str">
        <f t="shared" si="170"/>
        <v>SO</v>
      </c>
      <c r="S180">
        <f t="shared" si="171"/>
        <v>0</v>
      </c>
      <c r="T180">
        <f t="shared" si="172"/>
        <v>0</v>
      </c>
      <c r="U180" t="str">
        <f t="shared" si="173"/>
        <v>Marché 1</v>
      </c>
      <c r="V180">
        <f>VLOOKUP(U180,pxmassif,$D180-2010,FALSE)*S180</f>
        <v>0</v>
      </c>
      <c r="W180">
        <f>VLOOKUP(U180,pxcopeau,$D180-2010,FALSE)*T180</f>
        <v>0</v>
      </c>
      <c r="X180" t="str">
        <f t="shared" si="174"/>
        <v>SO</v>
      </c>
      <c r="Y180">
        <f t="shared" si="175"/>
        <v>0</v>
      </c>
      <c r="Z180">
        <f t="shared" si="176"/>
        <v>0</v>
      </c>
      <c r="AA180" t="str">
        <f t="shared" si="177"/>
        <v>Marché 1</v>
      </c>
      <c r="AB180">
        <f>VLOOKUP(AA180,pxmassif,$D180-2010,FALSE)*Y180</f>
        <v>0</v>
      </c>
      <c r="AC180">
        <f>VLOOKUP(AA180,pxcopeau,$D180-2010,FALSE)*Z180</f>
        <v>0</v>
      </c>
      <c r="AD180">
        <f t="shared" si="148"/>
        <v>0</v>
      </c>
      <c r="AE180">
        <f t="shared" si="149"/>
        <v>0</v>
      </c>
      <c r="AF180">
        <f t="shared" si="150"/>
        <v>0</v>
      </c>
      <c r="AG180">
        <f t="shared" si="151"/>
        <v>0</v>
      </c>
      <c r="AH180">
        <f t="shared" si="152"/>
        <v>0</v>
      </c>
      <c r="AI180">
        <f t="shared" si="153"/>
        <v>0</v>
      </c>
      <c r="AJ180">
        <f t="shared" si="154"/>
        <v>0</v>
      </c>
      <c r="AK180">
        <f t="shared" si="178"/>
        <v>0</v>
      </c>
      <c r="AL180">
        <f t="shared" si="179"/>
        <v>0</v>
      </c>
      <c r="AM180">
        <f>IFERROR(MIN(AL180,VLOOKUP(CONCATENATE(C180,"-to lingot"),negchutes,D180-2007,FALSE)),0)</f>
        <v>0</v>
      </c>
      <c r="AN180">
        <f t="shared" si="155"/>
        <v>0</v>
      </c>
      <c r="AO180" t="str">
        <f t="shared" si="184"/>
        <v>SO</v>
      </c>
      <c r="AP180">
        <f>IF(AR180=0,0,IFERROR(VLOOKUP(CONCATENATE($C180,"-to massif"),negchutes,$D180-2007,FALSE),0)*AM180/AR180)</f>
        <v>0</v>
      </c>
      <c r="AQ180">
        <f>IF(AR180=0,0,IFERROR(VLOOKUP(CONCATENATE($C180,"-to copeaux"),negchutes,$D180-2007,FALSE),0)*AM180/AR180)</f>
        <v>0</v>
      </c>
      <c r="AR180">
        <f>IFERROR(VLOOKUP(CONCATENATE($C180,"-to lingot"),negchutes,$D180-2007,FALSE),0)</f>
        <v>0</v>
      </c>
      <c r="AS180">
        <f>IF(AR180=0,0,AP180*VLOOKUP(CONCATENATE($C180,"-ac massif"),negchutes,$D180-2007,FALSE))</f>
        <v>0</v>
      </c>
      <c r="AT180">
        <f>IF(AR180=0,0,AQ180*VLOOKUP(CONCATENATE($C180,"-ac copeaux"),negchutes,$D180-2007,FALSE))</f>
        <v>0</v>
      </c>
      <c r="AU180">
        <f t="shared" si="180"/>
        <v>0</v>
      </c>
      <c r="AV180">
        <f>IFERROR(VLOOKUP(CONCATENATE(C180,"-px lingot"),negchutes,D180-2007,FALSE),0)*AM180</f>
        <v>0</v>
      </c>
      <c r="AW180">
        <f>AN180*VLOOKUP("Marché 1",pxlingot,D180-2010,FALSE)</f>
        <v>0</v>
      </c>
      <c r="AX180">
        <f t="shared" si="157"/>
        <v>0</v>
      </c>
      <c r="AY180" t="str">
        <f t="shared" si="181"/>
        <v>VAR</v>
      </c>
      <c r="AZ180">
        <f t="shared" si="182"/>
        <v>0</v>
      </c>
      <c r="BA180">
        <f>MAX(VLOOKUP(VLOOKUP(C180,descmarche,28,FALSE),pxlingot,D180-2010,FALSE),AX180)</f>
        <v>0</v>
      </c>
      <c r="BB180">
        <f t="shared" si="158"/>
        <v>0</v>
      </c>
      <c r="BC180" t="str">
        <f t="shared" si="183"/>
        <v>SO</v>
      </c>
    </row>
    <row r="181" spans="1:55" x14ac:dyDescent="0.25">
      <c r="A181" s="5" t="s">
        <v>16</v>
      </c>
      <c r="B181" s="4" t="s">
        <v>98</v>
      </c>
      <c r="C181" t="str">
        <f t="shared" si="160"/>
        <v>UKTMP-09</v>
      </c>
      <c r="D181">
        <v>2014</v>
      </c>
      <c r="E181">
        <v>0</v>
      </c>
      <c r="F181" t="str">
        <f t="shared" si="126"/>
        <v>Airbus hors AD</v>
      </c>
      <c r="G181" t="str">
        <f t="shared" si="161"/>
        <v>Contrat Airbus Structure hors AD</v>
      </c>
      <c r="H181">
        <f t="shared" si="162"/>
        <v>0</v>
      </c>
      <c r="I181">
        <f t="shared" si="163"/>
        <v>5</v>
      </c>
      <c r="J181">
        <f t="shared" si="164"/>
        <v>1210</v>
      </c>
      <c r="K181">
        <f t="shared" si="165"/>
        <v>0</v>
      </c>
      <c r="L181">
        <f t="shared" si="166"/>
        <v>0</v>
      </c>
      <c r="M181">
        <f t="shared" si="167"/>
        <v>0</v>
      </c>
      <c r="N181">
        <f t="shared" si="168"/>
        <v>0</v>
      </c>
      <c r="O181" t="str">
        <f t="shared" si="169"/>
        <v>Marché 1</v>
      </c>
      <c r="P181">
        <f>VLOOKUP(O181,pxmassif,D181-2010,FALSE)*M181</f>
        <v>0</v>
      </c>
      <c r="Q181">
        <f>VLOOKUP(O181,pxcopeau,D181-2010,FALSE)*N181</f>
        <v>0</v>
      </c>
      <c r="R181" t="str">
        <f t="shared" si="170"/>
        <v>SO</v>
      </c>
      <c r="S181">
        <f t="shared" si="171"/>
        <v>0</v>
      </c>
      <c r="T181">
        <f t="shared" si="172"/>
        <v>0</v>
      </c>
      <c r="U181" t="str">
        <f t="shared" si="173"/>
        <v>Marché 1</v>
      </c>
      <c r="V181">
        <f>VLOOKUP(U181,pxmassif,$D181-2010,FALSE)*S181</f>
        <v>0</v>
      </c>
      <c r="W181">
        <f>VLOOKUP(U181,pxcopeau,$D181-2010,FALSE)*T181</f>
        <v>0</v>
      </c>
      <c r="X181" t="str">
        <f t="shared" si="174"/>
        <v>SO</v>
      </c>
      <c r="Y181">
        <f t="shared" si="175"/>
        <v>0</v>
      </c>
      <c r="Z181">
        <f t="shared" si="176"/>
        <v>0</v>
      </c>
      <c r="AA181" t="str">
        <f t="shared" si="177"/>
        <v>Marché 1</v>
      </c>
      <c r="AB181">
        <f>VLOOKUP(AA181,pxmassif,$D181-2010,FALSE)*Y181</f>
        <v>0</v>
      </c>
      <c r="AC181">
        <f>VLOOKUP(AA181,pxcopeau,$D181-2010,FALSE)*Z181</f>
        <v>0</v>
      </c>
      <c r="AD181">
        <f t="shared" si="148"/>
        <v>0</v>
      </c>
      <c r="AE181">
        <f t="shared" si="149"/>
        <v>0</v>
      </c>
      <c r="AF181">
        <f t="shared" si="150"/>
        <v>0</v>
      </c>
      <c r="AG181">
        <f t="shared" si="151"/>
        <v>0</v>
      </c>
      <c r="AH181">
        <f t="shared" si="152"/>
        <v>0</v>
      </c>
      <c r="AI181">
        <f t="shared" si="153"/>
        <v>0</v>
      </c>
      <c r="AJ181">
        <f t="shared" si="154"/>
        <v>0</v>
      </c>
      <c r="AK181">
        <f t="shared" si="178"/>
        <v>0</v>
      </c>
      <c r="AL181">
        <f t="shared" si="179"/>
        <v>0</v>
      </c>
      <c r="AM181">
        <f>IFERROR(MIN(AL181,VLOOKUP(CONCATENATE(C181,"-to lingot"),negchutes,D181-2007,FALSE)),0)</f>
        <v>0</v>
      </c>
      <c r="AN181">
        <f t="shared" si="155"/>
        <v>0</v>
      </c>
      <c r="AO181" t="str">
        <f t="shared" si="184"/>
        <v>SO</v>
      </c>
      <c r="AP181">
        <f>IF(AR181=0,0,IFERROR(VLOOKUP(CONCATENATE($C181,"-to massif"),negchutes,$D181-2007,FALSE),0)*AM181/AR181)</f>
        <v>0</v>
      </c>
      <c r="AQ181">
        <f>IF(AR181=0,0,IFERROR(VLOOKUP(CONCATENATE($C181,"-to copeaux"),negchutes,$D181-2007,FALSE),0)*AM181/AR181)</f>
        <v>0</v>
      </c>
      <c r="AR181">
        <f>IFERROR(VLOOKUP(CONCATENATE($C181,"-to lingot"),negchutes,$D181-2007,FALSE),0)</f>
        <v>0</v>
      </c>
      <c r="AS181">
        <f>IF(AR181=0,0,AP181*VLOOKUP(CONCATENATE($C181,"-ac massif"),negchutes,$D181-2007,FALSE))</f>
        <v>0</v>
      </c>
      <c r="AT181">
        <f>IF(AR181=0,0,AQ181*VLOOKUP(CONCATENATE($C181,"-ac copeaux"),negchutes,$D181-2007,FALSE))</f>
        <v>0</v>
      </c>
      <c r="AU181">
        <f t="shared" si="180"/>
        <v>0</v>
      </c>
      <c r="AV181">
        <f>IFERROR(VLOOKUP(CONCATENATE(C181,"-px lingot"),negchutes,D181-2007,FALSE),0)*AM181</f>
        <v>0</v>
      </c>
      <c r="AW181">
        <f>AN181*VLOOKUP("Marché 1",pxlingot,D181-2010,FALSE)</f>
        <v>0</v>
      </c>
      <c r="AX181">
        <f t="shared" si="157"/>
        <v>0</v>
      </c>
      <c r="AY181" t="str">
        <f t="shared" si="181"/>
        <v>VAR</v>
      </c>
      <c r="AZ181">
        <f t="shared" si="182"/>
        <v>0</v>
      </c>
      <c r="BA181">
        <f>MAX(VLOOKUP(VLOOKUP(C181,descmarche,28,FALSE),pxlingot,D181-2010,FALSE),AX181)</f>
        <v>0</v>
      </c>
      <c r="BB181">
        <f t="shared" si="158"/>
        <v>0</v>
      </c>
      <c r="BC181" t="str">
        <f t="shared" si="183"/>
        <v>SO</v>
      </c>
    </row>
    <row r="182" spans="1:55" x14ac:dyDescent="0.25">
      <c r="A182" s="5" t="s">
        <v>16</v>
      </c>
      <c r="B182" s="4" t="s">
        <v>98</v>
      </c>
      <c r="C182" t="str">
        <f t="shared" si="160"/>
        <v>UKTMP-09</v>
      </c>
      <c r="D182">
        <v>2015</v>
      </c>
      <c r="E182">
        <v>0</v>
      </c>
      <c r="F182" t="str">
        <f t="shared" si="126"/>
        <v>Airbus hors AD</v>
      </c>
      <c r="G182" t="str">
        <f t="shared" si="161"/>
        <v>Contrat Airbus Structure hors AD</v>
      </c>
      <c r="H182">
        <f t="shared" si="162"/>
        <v>0</v>
      </c>
      <c r="I182">
        <f t="shared" si="163"/>
        <v>5</v>
      </c>
      <c r="J182">
        <f t="shared" si="164"/>
        <v>1210</v>
      </c>
      <c r="K182">
        <f t="shared" si="165"/>
        <v>0</v>
      </c>
      <c r="L182">
        <f t="shared" si="166"/>
        <v>0</v>
      </c>
      <c r="M182">
        <f t="shared" si="167"/>
        <v>0</v>
      </c>
      <c r="N182">
        <f t="shared" si="168"/>
        <v>0</v>
      </c>
      <c r="O182" t="str">
        <f t="shared" si="169"/>
        <v>Marché 1</v>
      </c>
      <c r="P182">
        <f>VLOOKUP(O182,pxmassif,D182-2010,FALSE)*M182</f>
        <v>0</v>
      </c>
      <c r="Q182">
        <f>VLOOKUP(O182,pxcopeau,D182-2010,FALSE)*N182</f>
        <v>0</v>
      </c>
      <c r="R182" t="str">
        <f t="shared" si="170"/>
        <v>SO</v>
      </c>
      <c r="S182">
        <f t="shared" si="171"/>
        <v>0</v>
      </c>
      <c r="T182">
        <f t="shared" si="172"/>
        <v>0</v>
      </c>
      <c r="U182" t="str">
        <f t="shared" si="173"/>
        <v>Marché 1</v>
      </c>
      <c r="V182">
        <f>VLOOKUP(U182,pxmassif,$D182-2010,FALSE)*S182</f>
        <v>0</v>
      </c>
      <c r="W182">
        <f>VLOOKUP(U182,pxcopeau,$D182-2010,FALSE)*T182</f>
        <v>0</v>
      </c>
      <c r="X182" t="str">
        <f t="shared" si="174"/>
        <v>SO</v>
      </c>
      <c r="Y182">
        <f t="shared" si="175"/>
        <v>0</v>
      </c>
      <c r="Z182">
        <f t="shared" si="176"/>
        <v>0</v>
      </c>
      <c r="AA182" t="str">
        <f t="shared" si="177"/>
        <v>Marché 1</v>
      </c>
      <c r="AB182">
        <f>VLOOKUP(AA182,pxmassif,$D182-2010,FALSE)*Y182</f>
        <v>0</v>
      </c>
      <c r="AC182">
        <f>VLOOKUP(AA182,pxcopeau,$D182-2010,FALSE)*Z182</f>
        <v>0</v>
      </c>
      <c r="AD182">
        <f t="shared" si="148"/>
        <v>0</v>
      </c>
      <c r="AE182">
        <f t="shared" si="149"/>
        <v>0</v>
      </c>
      <c r="AF182">
        <f t="shared" si="150"/>
        <v>0</v>
      </c>
      <c r="AG182">
        <f t="shared" si="151"/>
        <v>0</v>
      </c>
      <c r="AH182">
        <f t="shared" si="152"/>
        <v>0</v>
      </c>
      <c r="AI182">
        <f t="shared" si="153"/>
        <v>0</v>
      </c>
      <c r="AJ182">
        <f t="shared" si="154"/>
        <v>0</v>
      </c>
      <c r="AK182">
        <f t="shared" si="178"/>
        <v>0</v>
      </c>
      <c r="AL182">
        <f t="shared" si="179"/>
        <v>0</v>
      </c>
      <c r="AM182">
        <f>IFERROR(MIN(AL182,VLOOKUP(CONCATENATE(C182,"-to lingot"),negchutes,D182-2007,FALSE)),0)</f>
        <v>0</v>
      </c>
      <c r="AN182">
        <f t="shared" si="155"/>
        <v>0</v>
      </c>
      <c r="AO182" t="str">
        <f t="shared" si="184"/>
        <v>SO</v>
      </c>
      <c r="AP182">
        <f>IF(AR182=0,0,IFERROR(VLOOKUP(CONCATENATE($C182,"-to massif"),negchutes,$D182-2007,FALSE),0)*AM182/AR182)</f>
        <v>0</v>
      </c>
      <c r="AQ182">
        <f>IF(AR182=0,0,IFERROR(VLOOKUP(CONCATENATE($C182,"-to copeaux"),negchutes,$D182-2007,FALSE),0)*AM182/AR182)</f>
        <v>0</v>
      </c>
      <c r="AR182">
        <f>IFERROR(VLOOKUP(CONCATENATE($C182,"-to lingot"),negchutes,$D182-2007,FALSE),0)</f>
        <v>0</v>
      </c>
      <c r="AS182">
        <f>IF(AR182=0,0,AP182*VLOOKUP(CONCATENATE($C182,"-ac massif"),negchutes,$D182-2007,FALSE))</f>
        <v>0</v>
      </c>
      <c r="AT182">
        <f>IF(AR182=0,0,AQ182*VLOOKUP(CONCATENATE($C182,"-ac copeaux"),negchutes,$D182-2007,FALSE))</f>
        <v>0</v>
      </c>
      <c r="AU182">
        <f t="shared" si="180"/>
        <v>0</v>
      </c>
      <c r="AV182">
        <f>IFERROR(VLOOKUP(CONCATENATE(C182,"-px lingot"),negchutes,D182-2007,FALSE),0)*AM182</f>
        <v>0</v>
      </c>
      <c r="AW182">
        <f>AN182*VLOOKUP("Marché 1",pxlingot,D182-2010,FALSE)</f>
        <v>0</v>
      </c>
      <c r="AX182">
        <f t="shared" si="157"/>
        <v>0</v>
      </c>
      <c r="AY182" t="str">
        <f t="shared" si="181"/>
        <v>VAR</v>
      </c>
      <c r="AZ182">
        <f t="shared" si="182"/>
        <v>0</v>
      </c>
      <c r="BA182">
        <f>MAX(VLOOKUP(VLOOKUP(C182,descmarche,28,FALSE),pxlingot,D182-2010,FALSE),AX182)</f>
        <v>0</v>
      </c>
      <c r="BB182">
        <f t="shared" si="158"/>
        <v>0</v>
      </c>
      <c r="BC182" t="str">
        <f t="shared" si="183"/>
        <v>SO</v>
      </c>
    </row>
    <row r="183" spans="1:55" x14ac:dyDescent="0.25">
      <c r="A183" s="5" t="s">
        <v>16</v>
      </c>
      <c r="B183" s="4" t="s">
        <v>98</v>
      </c>
      <c r="C183" t="str">
        <f t="shared" si="160"/>
        <v>UKTMP-09</v>
      </c>
      <c r="D183">
        <v>2016</v>
      </c>
      <c r="E183">
        <v>0</v>
      </c>
      <c r="F183" t="str">
        <f t="shared" si="126"/>
        <v>Airbus hors AD</v>
      </c>
      <c r="G183" t="str">
        <f t="shared" si="161"/>
        <v>Contrat Airbus Structure hors AD</v>
      </c>
      <c r="H183">
        <f t="shared" si="162"/>
        <v>0</v>
      </c>
      <c r="I183">
        <f t="shared" si="163"/>
        <v>5</v>
      </c>
      <c r="J183">
        <f t="shared" si="164"/>
        <v>1210</v>
      </c>
      <c r="K183">
        <f t="shared" si="165"/>
        <v>0</v>
      </c>
      <c r="L183">
        <f t="shared" si="166"/>
        <v>0</v>
      </c>
      <c r="M183">
        <f t="shared" si="167"/>
        <v>0</v>
      </c>
      <c r="N183">
        <f t="shared" si="168"/>
        <v>0</v>
      </c>
      <c r="O183" t="str">
        <f t="shared" si="169"/>
        <v>Marché 1</v>
      </c>
      <c r="P183">
        <f>VLOOKUP(O183,pxmassif,D183-2010,FALSE)*M183</f>
        <v>0</v>
      </c>
      <c r="Q183">
        <f>VLOOKUP(O183,pxcopeau,D183-2010,FALSE)*N183</f>
        <v>0</v>
      </c>
      <c r="R183" t="str">
        <f t="shared" si="170"/>
        <v>SO</v>
      </c>
      <c r="S183">
        <f t="shared" si="171"/>
        <v>0</v>
      </c>
      <c r="T183">
        <f t="shared" si="172"/>
        <v>0</v>
      </c>
      <c r="U183" t="str">
        <f t="shared" si="173"/>
        <v>Marché 1</v>
      </c>
      <c r="V183">
        <f>VLOOKUP(U183,pxmassif,$D183-2010,FALSE)*S183</f>
        <v>0</v>
      </c>
      <c r="W183">
        <f>VLOOKUP(U183,pxcopeau,$D183-2010,FALSE)*T183</f>
        <v>0</v>
      </c>
      <c r="X183" t="str">
        <f t="shared" si="174"/>
        <v>SO</v>
      </c>
      <c r="Y183">
        <f t="shared" si="175"/>
        <v>0</v>
      </c>
      <c r="Z183">
        <f t="shared" si="176"/>
        <v>0</v>
      </c>
      <c r="AA183" t="str">
        <f t="shared" si="177"/>
        <v>Marché 1</v>
      </c>
      <c r="AB183">
        <f>VLOOKUP(AA183,pxmassif,$D183-2010,FALSE)*Y183</f>
        <v>0</v>
      </c>
      <c r="AC183">
        <f>VLOOKUP(AA183,pxcopeau,$D183-2010,FALSE)*Z183</f>
        <v>0</v>
      </c>
      <c r="AD183">
        <f t="shared" si="148"/>
        <v>0</v>
      </c>
      <c r="AE183">
        <f t="shared" si="149"/>
        <v>0</v>
      </c>
      <c r="AF183">
        <f t="shared" si="150"/>
        <v>0</v>
      </c>
      <c r="AG183">
        <f t="shared" si="151"/>
        <v>0</v>
      </c>
      <c r="AH183">
        <f t="shared" si="152"/>
        <v>0</v>
      </c>
      <c r="AI183">
        <f t="shared" si="153"/>
        <v>0</v>
      </c>
      <c r="AJ183">
        <f t="shared" si="154"/>
        <v>0</v>
      </c>
      <c r="AK183">
        <f t="shared" si="178"/>
        <v>0</v>
      </c>
      <c r="AL183">
        <f t="shared" si="179"/>
        <v>0</v>
      </c>
      <c r="AM183">
        <f>IFERROR(MIN(AL183,VLOOKUP(CONCATENATE(C183,"-to lingot"),negchutes,D183-2007,FALSE)),0)</f>
        <v>0</v>
      </c>
      <c r="AN183">
        <f t="shared" si="155"/>
        <v>0</v>
      </c>
      <c r="AO183" t="str">
        <f t="shared" si="184"/>
        <v>SO</v>
      </c>
      <c r="AP183">
        <f>IF(AR183=0,0,IFERROR(VLOOKUP(CONCATENATE($C183,"-to massif"),negchutes,$D183-2007,FALSE),0)*AM183/AR183)</f>
        <v>0</v>
      </c>
      <c r="AQ183">
        <f>IF(AR183=0,0,IFERROR(VLOOKUP(CONCATENATE($C183,"-to copeaux"),negchutes,$D183-2007,FALSE),0)*AM183/AR183)</f>
        <v>0</v>
      </c>
      <c r="AR183">
        <f>IFERROR(VLOOKUP(CONCATENATE($C183,"-to lingot"),negchutes,$D183-2007,FALSE),0)</f>
        <v>0</v>
      </c>
      <c r="AS183">
        <f>IF(AR183=0,0,AP183*VLOOKUP(CONCATENATE($C183,"-ac massif"),negchutes,$D183-2007,FALSE))</f>
        <v>0</v>
      </c>
      <c r="AT183">
        <f>IF(AR183=0,0,AQ183*VLOOKUP(CONCATENATE($C183,"-ac copeaux"),negchutes,$D183-2007,FALSE))</f>
        <v>0</v>
      </c>
      <c r="AU183">
        <f t="shared" si="180"/>
        <v>0</v>
      </c>
      <c r="AV183">
        <f>IFERROR(VLOOKUP(CONCATENATE(C183,"-px lingot"),negchutes,D183-2007,FALSE),0)*AM183</f>
        <v>0</v>
      </c>
      <c r="AW183">
        <f>AN183*VLOOKUP("Marché 1",pxlingot,D183-2010,FALSE)</f>
        <v>0</v>
      </c>
      <c r="AX183">
        <f t="shared" si="157"/>
        <v>0</v>
      </c>
      <c r="AY183" t="str">
        <f t="shared" si="181"/>
        <v>VAR</v>
      </c>
      <c r="AZ183">
        <f t="shared" si="182"/>
        <v>0</v>
      </c>
      <c r="BA183">
        <f>MAX(VLOOKUP(VLOOKUP(C183,descmarche,28,FALSE),pxlingot,D183-2010,FALSE),AX183)</f>
        <v>0</v>
      </c>
      <c r="BB183">
        <f t="shared" si="158"/>
        <v>0</v>
      </c>
      <c r="BC183" t="str">
        <f t="shared" si="183"/>
        <v>SO</v>
      </c>
    </row>
    <row r="184" spans="1:55" x14ac:dyDescent="0.25">
      <c r="A184" s="5" t="s">
        <v>16</v>
      </c>
      <c r="B184" s="4" t="s">
        <v>98</v>
      </c>
      <c r="C184" t="str">
        <f t="shared" si="160"/>
        <v>UKTMP-09</v>
      </c>
      <c r="D184">
        <v>2017</v>
      </c>
      <c r="E184">
        <v>0</v>
      </c>
      <c r="F184" t="str">
        <f t="shared" si="126"/>
        <v>Airbus hors AD</v>
      </c>
      <c r="G184" t="str">
        <f t="shared" si="161"/>
        <v>Contrat Airbus Structure hors AD</v>
      </c>
      <c r="H184">
        <f t="shared" si="162"/>
        <v>0</v>
      </c>
      <c r="I184">
        <f t="shared" si="163"/>
        <v>5</v>
      </c>
      <c r="J184">
        <f t="shared" si="164"/>
        <v>1210</v>
      </c>
      <c r="K184">
        <f t="shared" si="165"/>
        <v>0</v>
      </c>
      <c r="L184">
        <f t="shared" si="166"/>
        <v>0</v>
      </c>
      <c r="M184">
        <f t="shared" si="167"/>
        <v>0</v>
      </c>
      <c r="N184">
        <f t="shared" si="168"/>
        <v>0</v>
      </c>
      <c r="O184" t="str">
        <f t="shared" si="169"/>
        <v>Marché 1</v>
      </c>
      <c r="P184">
        <f>VLOOKUP(O184,pxmassif,D184-2010,FALSE)*M184</f>
        <v>0</v>
      </c>
      <c r="Q184">
        <f>VLOOKUP(O184,pxcopeau,D184-2010,FALSE)*N184</f>
        <v>0</v>
      </c>
      <c r="R184" t="str">
        <f t="shared" si="170"/>
        <v>SO</v>
      </c>
      <c r="S184">
        <f t="shared" si="171"/>
        <v>0</v>
      </c>
      <c r="T184">
        <f t="shared" si="172"/>
        <v>0</v>
      </c>
      <c r="U184" t="str">
        <f t="shared" si="173"/>
        <v>Marché 1</v>
      </c>
      <c r="V184">
        <f>VLOOKUP(U184,pxmassif,$D184-2010,FALSE)*S184</f>
        <v>0</v>
      </c>
      <c r="W184">
        <f>VLOOKUP(U184,pxcopeau,$D184-2010,FALSE)*T184</f>
        <v>0</v>
      </c>
      <c r="X184" t="str">
        <f t="shared" si="174"/>
        <v>SO</v>
      </c>
      <c r="Y184">
        <f t="shared" si="175"/>
        <v>0</v>
      </c>
      <c r="Z184">
        <f t="shared" si="176"/>
        <v>0</v>
      </c>
      <c r="AA184" t="str">
        <f t="shared" si="177"/>
        <v>Marché 1</v>
      </c>
      <c r="AB184">
        <f>VLOOKUP(AA184,pxmassif,$D184-2010,FALSE)*Y184</f>
        <v>0</v>
      </c>
      <c r="AC184">
        <f>VLOOKUP(AA184,pxcopeau,$D184-2010,FALSE)*Z184</f>
        <v>0</v>
      </c>
      <c r="AD184">
        <f t="shared" si="148"/>
        <v>0</v>
      </c>
      <c r="AE184">
        <f t="shared" si="149"/>
        <v>0</v>
      </c>
      <c r="AF184">
        <f t="shared" si="150"/>
        <v>0</v>
      </c>
      <c r="AG184">
        <f t="shared" si="151"/>
        <v>0</v>
      </c>
      <c r="AH184">
        <f t="shared" si="152"/>
        <v>0</v>
      </c>
      <c r="AI184">
        <f t="shared" si="153"/>
        <v>0</v>
      </c>
      <c r="AJ184">
        <f t="shared" si="154"/>
        <v>0</v>
      </c>
      <c r="AK184">
        <f t="shared" si="178"/>
        <v>0</v>
      </c>
      <c r="AL184">
        <f t="shared" si="179"/>
        <v>0</v>
      </c>
      <c r="AM184">
        <f>IFERROR(MIN(AL184,VLOOKUP(CONCATENATE(C184,"-to lingot"),negchutes,D184-2007,FALSE)),0)</f>
        <v>0</v>
      </c>
      <c r="AN184">
        <f t="shared" si="155"/>
        <v>0</v>
      </c>
      <c r="AO184" t="str">
        <f t="shared" si="184"/>
        <v>SO</v>
      </c>
      <c r="AP184">
        <f>IF(AR184=0,0,IFERROR(VLOOKUP(CONCATENATE($C184,"-to massif"),negchutes,$D184-2007,FALSE),0)*AM184/AR184)</f>
        <v>0</v>
      </c>
      <c r="AQ184">
        <f>IF(AR184=0,0,IFERROR(VLOOKUP(CONCATENATE($C184,"-to copeaux"),negchutes,$D184-2007,FALSE),0)*AM184/AR184)</f>
        <v>0</v>
      </c>
      <c r="AR184">
        <f>IFERROR(VLOOKUP(CONCATENATE($C184,"-to lingot"),negchutes,$D184-2007,FALSE),0)</f>
        <v>0</v>
      </c>
      <c r="AS184">
        <f>IF(AR184=0,0,AP184*VLOOKUP(CONCATENATE($C184,"-ac massif"),negchutes,$D184-2007,FALSE))</f>
        <v>0</v>
      </c>
      <c r="AT184">
        <f>IF(AR184=0,0,AQ184*VLOOKUP(CONCATENATE($C184,"-ac copeaux"),negchutes,$D184-2007,FALSE))</f>
        <v>0</v>
      </c>
      <c r="AU184">
        <f t="shared" si="180"/>
        <v>0</v>
      </c>
      <c r="AV184">
        <f>IFERROR(VLOOKUP(CONCATENATE(C184,"-px lingot"),negchutes,D184-2007,FALSE),0)*AM184</f>
        <v>0</v>
      </c>
      <c r="AW184">
        <f>AN184*VLOOKUP("Marché 1",pxlingot,D184-2010,FALSE)</f>
        <v>0</v>
      </c>
      <c r="AX184">
        <f t="shared" si="157"/>
        <v>0</v>
      </c>
      <c r="AY184" t="str">
        <f t="shared" si="181"/>
        <v>VAR</v>
      </c>
      <c r="AZ184">
        <f t="shared" si="182"/>
        <v>0</v>
      </c>
      <c r="BA184">
        <f>MAX(VLOOKUP(VLOOKUP(C184,descmarche,28,FALSE),pxlingot,D184-2010,FALSE),AX184)</f>
        <v>0</v>
      </c>
      <c r="BB184">
        <f t="shared" si="158"/>
        <v>0</v>
      </c>
      <c r="BC184" t="str">
        <f t="shared" si="183"/>
        <v>SO</v>
      </c>
    </row>
    <row r="185" spans="1:55" x14ac:dyDescent="0.25">
      <c r="A185" s="5" t="s">
        <v>16</v>
      </c>
      <c r="B185" s="4" t="s">
        <v>98</v>
      </c>
      <c r="C185" t="str">
        <f t="shared" si="160"/>
        <v>UKTMP-09</v>
      </c>
      <c r="D185">
        <v>2018</v>
      </c>
      <c r="E185">
        <v>0</v>
      </c>
      <c r="F185" t="str">
        <f t="shared" si="126"/>
        <v>Airbus hors AD</v>
      </c>
      <c r="G185" t="str">
        <f t="shared" si="161"/>
        <v>Contrat Airbus Structure hors AD</v>
      </c>
      <c r="H185">
        <f t="shared" si="162"/>
        <v>0</v>
      </c>
      <c r="I185">
        <f t="shared" si="163"/>
        <v>5</v>
      </c>
      <c r="J185">
        <f t="shared" si="164"/>
        <v>1210</v>
      </c>
      <c r="K185">
        <f t="shared" si="165"/>
        <v>0</v>
      </c>
      <c r="L185">
        <f t="shared" si="166"/>
        <v>0</v>
      </c>
      <c r="M185">
        <f t="shared" si="167"/>
        <v>0</v>
      </c>
      <c r="N185">
        <f t="shared" si="168"/>
        <v>0</v>
      </c>
      <c r="O185" t="str">
        <f t="shared" si="169"/>
        <v>Marché 1</v>
      </c>
      <c r="P185">
        <f>VLOOKUP(O185,pxmassif,D185-2010,FALSE)*M185</f>
        <v>0</v>
      </c>
      <c r="Q185">
        <f>VLOOKUP(O185,pxcopeau,D185-2010,FALSE)*N185</f>
        <v>0</v>
      </c>
      <c r="R185" t="str">
        <f t="shared" si="170"/>
        <v>SO</v>
      </c>
      <c r="S185">
        <f t="shared" si="171"/>
        <v>0</v>
      </c>
      <c r="T185">
        <f t="shared" si="172"/>
        <v>0</v>
      </c>
      <c r="U185" t="str">
        <f t="shared" si="173"/>
        <v>Marché 1</v>
      </c>
      <c r="V185">
        <f>VLOOKUP(U185,pxmassif,$D185-2010,FALSE)*S185</f>
        <v>0</v>
      </c>
      <c r="W185">
        <f>VLOOKUP(U185,pxcopeau,$D185-2010,FALSE)*T185</f>
        <v>0</v>
      </c>
      <c r="X185" t="str">
        <f t="shared" si="174"/>
        <v>SO</v>
      </c>
      <c r="Y185">
        <f t="shared" si="175"/>
        <v>0</v>
      </c>
      <c r="Z185">
        <f t="shared" si="176"/>
        <v>0</v>
      </c>
      <c r="AA185" t="str">
        <f t="shared" si="177"/>
        <v>Marché 1</v>
      </c>
      <c r="AB185">
        <f>VLOOKUP(AA185,pxmassif,$D185-2010,FALSE)*Y185</f>
        <v>0</v>
      </c>
      <c r="AC185">
        <f>VLOOKUP(AA185,pxcopeau,$D185-2010,FALSE)*Z185</f>
        <v>0</v>
      </c>
      <c r="AD185">
        <f t="shared" si="148"/>
        <v>0</v>
      </c>
      <c r="AE185">
        <f t="shared" si="149"/>
        <v>0</v>
      </c>
      <c r="AF185">
        <f t="shared" si="150"/>
        <v>0</v>
      </c>
      <c r="AG185">
        <f t="shared" si="151"/>
        <v>0</v>
      </c>
      <c r="AH185">
        <f t="shared" si="152"/>
        <v>0</v>
      </c>
      <c r="AI185">
        <f t="shared" si="153"/>
        <v>0</v>
      </c>
      <c r="AJ185">
        <f t="shared" si="154"/>
        <v>0</v>
      </c>
      <c r="AK185">
        <f t="shared" si="178"/>
        <v>0</v>
      </c>
      <c r="AL185">
        <f t="shared" si="179"/>
        <v>0</v>
      </c>
      <c r="AM185">
        <f>IFERROR(MIN(AL185,VLOOKUP(CONCATENATE(C185,"-to lingot"),negchutes,D185-2007,FALSE)),0)</f>
        <v>0</v>
      </c>
      <c r="AN185">
        <f t="shared" si="155"/>
        <v>0</v>
      </c>
      <c r="AO185" t="str">
        <f t="shared" si="184"/>
        <v>SO</v>
      </c>
      <c r="AP185">
        <f>IF(AR185=0,0,IFERROR(VLOOKUP(CONCATENATE($C185,"-to massif"),negchutes,$D185-2007,FALSE),0)*AM185/AR185)</f>
        <v>0</v>
      </c>
      <c r="AQ185">
        <f>IF(AR185=0,0,IFERROR(VLOOKUP(CONCATENATE($C185,"-to copeaux"),negchutes,$D185-2007,FALSE),0)*AM185/AR185)</f>
        <v>0</v>
      </c>
      <c r="AR185">
        <f>IFERROR(VLOOKUP(CONCATENATE($C185,"-to lingot"),negchutes,$D185-2007,FALSE),0)</f>
        <v>0</v>
      </c>
      <c r="AS185">
        <f>IF(AR185=0,0,AP185*VLOOKUP(CONCATENATE($C185,"-ac massif"),negchutes,$D185-2007,FALSE))</f>
        <v>0</v>
      </c>
      <c r="AT185">
        <f>IF(AR185=0,0,AQ185*VLOOKUP(CONCATENATE($C185,"-ac copeaux"),negchutes,$D185-2007,FALSE))</f>
        <v>0</v>
      </c>
      <c r="AU185">
        <f t="shared" si="180"/>
        <v>0</v>
      </c>
      <c r="AV185">
        <f>IFERROR(VLOOKUP(CONCATENATE(C185,"-px lingot"),negchutes,D185-2007,FALSE),0)*AM185</f>
        <v>0</v>
      </c>
      <c r="AW185">
        <f>AN185*VLOOKUP("Marché 1",pxlingot,D185-2010,FALSE)</f>
        <v>0</v>
      </c>
      <c r="AX185">
        <f t="shared" si="157"/>
        <v>0</v>
      </c>
      <c r="AY185" t="str">
        <f t="shared" si="181"/>
        <v>VAR</v>
      </c>
      <c r="AZ185">
        <f t="shared" si="182"/>
        <v>0</v>
      </c>
      <c r="BA185">
        <f>MAX(VLOOKUP(VLOOKUP(C185,descmarche,28,FALSE),pxlingot,D185-2010,FALSE),AX185)</f>
        <v>0</v>
      </c>
      <c r="BB185">
        <f t="shared" si="158"/>
        <v>0</v>
      </c>
      <c r="BC185" t="str">
        <f t="shared" si="183"/>
        <v>SO</v>
      </c>
    </row>
    <row r="186" spans="1:55" x14ac:dyDescent="0.25">
      <c r="A186" s="5" t="s">
        <v>16</v>
      </c>
      <c r="B186" s="4" t="s">
        <v>98</v>
      </c>
      <c r="C186" t="str">
        <f t="shared" si="160"/>
        <v>UKTMP-09</v>
      </c>
      <c r="D186">
        <v>2019</v>
      </c>
      <c r="E186">
        <v>0</v>
      </c>
      <c r="F186" t="str">
        <f t="shared" si="126"/>
        <v>Airbus hors AD</v>
      </c>
      <c r="G186" t="str">
        <f t="shared" si="161"/>
        <v>Contrat Airbus Structure hors AD</v>
      </c>
      <c r="H186">
        <f t="shared" si="162"/>
        <v>0</v>
      </c>
      <c r="I186">
        <f t="shared" si="163"/>
        <v>5</v>
      </c>
      <c r="J186">
        <f t="shared" si="164"/>
        <v>1210</v>
      </c>
      <c r="K186">
        <f t="shared" si="165"/>
        <v>0</v>
      </c>
      <c r="L186">
        <f t="shared" si="166"/>
        <v>0</v>
      </c>
      <c r="M186">
        <f t="shared" si="167"/>
        <v>0</v>
      </c>
      <c r="N186">
        <f t="shared" si="168"/>
        <v>0</v>
      </c>
      <c r="O186" t="str">
        <f t="shared" si="169"/>
        <v>Marché 1</v>
      </c>
      <c r="P186">
        <f>VLOOKUP(O186,pxmassif,D186-2010,FALSE)*M186</f>
        <v>0</v>
      </c>
      <c r="Q186">
        <f>VLOOKUP(O186,pxcopeau,D186-2010,FALSE)*N186</f>
        <v>0</v>
      </c>
      <c r="R186" t="str">
        <f t="shared" si="170"/>
        <v>SO</v>
      </c>
      <c r="S186">
        <f t="shared" si="171"/>
        <v>0</v>
      </c>
      <c r="T186">
        <f t="shared" si="172"/>
        <v>0</v>
      </c>
      <c r="U186" t="str">
        <f t="shared" si="173"/>
        <v>Marché 1</v>
      </c>
      <c r="V186">
        <f>VLOOKUP(U186,pxmassif,$D186-2010,FALSE)*S186</f>
        <v>0</v>
      </c>
      <c r="W186">
        <f>VLOOKUP(U186,pxcopeau,$D186-2010,FALSE)*T186</f>
        <v>0</v>
      </c>
      <c r="X186" t="str">
        <f t="shared" si="174"/>
        <v>SO</v>
      </c>
      <c r="Y186">
        <f t="shared" si="175"/>
        <v>0</v>
      </c>
      <c r="Z186">
        <f t="shared" si="176"/>
        <v>0</v>
      </c>
      <c r="AA186" t="str">
        <f t="shared" si="177"/>
        <v>Marché 1</v>
      </c>
      <c r="AB186">
        <f>VLOOKUP(AA186,pxmassif,$D186-2010,FALSE)*Y186</f>
        <v>0</v>
      </c>
      <c r="AC186">
        <f>VLOOKUP(AA186,pxcopeau,$D186-2010,FALSE)*Z186</f>
        <v>0</v>
      </c>
      <c r="AD186">
        <f t="shared" si="148"/>
        <v>0</v>
      </c>
      <c r="AE186">
        <f t="shared" si="149"/>
        <v>0</v>
      </c>
      <c r="AF186">
        <f t="shared" si="150"/>
        <v>0</v>
      </c>
      <c r="AG186">
        <f t="shared" si="151"/>
        <v>0</v>
      </c>
      <c r="AH186">
        <f t="shared" si="152"/>
        <v>0</v>
      </c>
      <c r="AI186">
        <f t="shared" si="153"/>
        <v>0</v>
      </c>
      <c r="AJ186">
        <f t="shared" si="154"/>
        <v>0</v>
      </c>
      <c r="AK186">
        <f t="shared" si="178"/>
        <v>0</v>
      </c>
      <c r="AL186">
        <f t="shared" si="179"/>
        <v>0</v>
      </c>
      <c r="AM186">
        <f>IFERROR(MIN(AL186,VLOOKUP(CONCATENATE(C186,"-to lingot"),negchutes,D186-2007,FALSE)),0)</f>
        <v>0</v>
      </c>
      <c r="AN186">
        <f t="shared" si="155"/>
        <v>0</v>
      </c>
      <c r="AO186" t="str">
        <f t="shared" si="184"/>
        <v>SO</v>
      </c>
      <c r="AP186">
        <f>IF(AR186=0,0,IFERROR(VLOOKUP(CONCATENATE($C186,"-to massif"),negchutes,$D186-2007,FALSE),0)*AM186/AR186)</f>
        <v>0</v>
      </c>
      <c r="AQ186">
        <f>IF(AR186=0,0,IFERROR(VLOOKUP(CONCATENATE($C186,"-to copeaux"),negchutes,$D186-2007,FALSE),0)*AM186/AR186)</f>
        <v>0</v>
      </c>
      <c r="AR186">
        <f>IFERROR(VLOOKUP(CONCATENATE($C186,"-to lingot"),negchutes,$D186-2007,FALSE),0)</f>
        <v>0</v>
      </c>
      <c r="AS186">
        <f>IF(AR186=0,0,AP186*VLOOKUP(CONCATENATE($C186,"-ac massif"),negchutes,$D186-2007,FALSE))</f>
        <v>0</v>
      </c>
      <c r="AT186">
        <f>IF(AR186=0,0,AQ186*VLOOKUP(CONCATENATE($C186,"-ac copeaux"),negchutes,$D186-2007,FALSE))</f>
        <v>0</v>
      </c>
      <c r="AU186">
        <f t="shared" si="180"/>
        <v>0</v>
      </c>
      <c r="AV186">
        <f>IFERROR(VLOOKUP(CONCATENATE(C186,"-px lingot"),negchutes,D186-2007,FALSE),0)*AM186</f>
        <v>0</v>
      </c>
      <c r="AW186">
        <f>AN186*VLOOKUP("Marché 1",pxlingot,D186-2010,FALSE)</f>
        <v>0</v>
      </c>
      <c r="AX186">
        <f t="shared" si="157"/>
        <v>0</v>
      </c>
      <c r="AY186" t="str">
        <f t="shared" si="181"/>
        <v>VAR</v>
      </c>
      <c r="AZ186">
        <f t="shared" si="182"/>
        <v>0</v>
      </c>
      <c r="BA186">
        <f>MAX(VLOOKUP(VLOOKUP(C186,descmarche,28,FALSE),pxlingot,D186-2010,FALSE),AX186)</f>
        <v>0</v>
      </c>
      <c r="BB186">
        <f t="shared" si="158"/>
        <v>0</v>
      </c>
      <c r="BC186" t="str">
        <f t="shared" si="183"/>
        <v>SO</v>
      </c>
    </row>
    <row r="187" spans="1:55" x14ac:dyDescent="0.25">
      <c r="A187" s="5" t="s">
        <v>16</v>
      </c>
      <c r="B187" s="4" t="s">
        <v>98</v>
      </c>
      <c r="C187" t="str">
        <f t="shared" si="160"/>
        <v>UKTMP-09</v>
      </c>
      <c r="D187">
        <v>2020</v>
      </c>
      <c r="E187">
        <v>0</v>
      </c>
      <c r="F187" t="str">
        <f t="shared" si="126"/>
        <v>Airbus hors AD</v>
      </c>
      <c r="G187" t="str">
        <f t="shared" si="161"/>
        <v>Contrat Airbus Structure hors AD</v>
      </c>
      <c r="H187">
        <f t="shared" si="162"/>
        <v>0</v>
      </c>
      <c r="I187">
        <f t="shared" si="163"/>
        <v>5</v>
      </c>
      <c r="J187">
        <f t="shared" si="164"/>
        <v>1210</v>
      </c>
      <c r="K187">
        <f t="shared" si="165"/>
        <v>0</v>
      </c>
      <c r="L187">
        <f t="shared" si="166"/>
        <v>0</v>
      </c>
      <c r="M187">
        <f t="shared" si="167"/>
        <v>0</v>
      </c>
      <c r="N187">
        <f t="shared" si="168"/>
        <v>0</v>
      </c>
      <c r="O187" t="str">
        <f t="shared" si="169"/>
        <v>Marché 1</v>
      </c>
      <c r="P187">
        <f>VLOOKUP(O187,pxmassif,D187-2010,FALSE)*M187</f>
        <v>0</v>
      </c>
      <c r="Q187">
        <f>VLOOKUP(O187,pxcopeau,D187-2010,FALSE)*N187</f>
        <v>0</v>
      </c>
      <c r="R187" t="str">
        <f t="shared" si="170"/>
        <v>SO</v>
      </c>
      <c r="S187">
        <f t="shared" si="171"/>
        <v>0</v>
      </c>
      <c r="T187">
        <f t="shared" si="172"/>
        <v>0</v>
      </c>
      <c r="U187" t="str">
        <f t="shared" si="173"/>
        <v>Marché 1</v>
      </c>
      <c r="V187">
        <f>VLOOKUP(U187,pxmassif,$D187-2010,FALSE)*S187</f>
        <v>0</v>
      </c>
      <c r="W187">
        <f>VLOOKUP(U187,pxcopeau,$D187-2010,FALSE)*T187</f>
        <v>0</v>
      </c>
      <c r="X187" t="str">
        <f t="shared" si="174"/>
        <v>SO</v>
      </c>
      <c r="Y187">
        <f t="shared" si="175"/>
        <v>0</v>
      </c>
      <c r="Z187">
        <f t="shared" si="176"/>
        <v>0</v>
      </c>
      <c r="AA187" t="str">
        <f t="shared" si="177"/>
        <v>Marché 1</v>
      </c>
      <c r="AB187">
        <f>VLOOKUP(AA187,pxmassif,$D187-2010,FALSE)*Y187</f>
        <v>0</v>
      </c>
      <c r="AC187">
        <f>VLOOKUP(AA187,pxcopeau,$D187-2010,FALSE)*Z187</f>
        <v>0</v>
      </c>
      <c r="AD187">
        <f t="shared" si="148"/>
        <v>0</v>
      </c>
      <c r="AE187">
        <f t="shared" si="149"/>
        <v>0</v>
      </c>
      <c r="AF187">
        <f t="shared" si="150"/>
        <v>0</v>
      </c>
      <c r="AG187">
        <f t="shared" si="151"/>
        <v>0</v>
      </c>
      <c r="AH187">
        <f t="shared" si="152"/>
        <v>0</v>
      </c>
      <c r="AI187">
        <f t="shared" si="153"/>
        <v>0</v>
      </c>
      <c r="AJ187">
        <f t="shared" si="154"/>
        <v>0</v>
      </c>
      <c r="AK187">
        <f t="shared" si="178"/>
        <v>0</v>
      </c>
      <c r="AL187">
        <f t="shared" si="179"/>
        <v>0</v>
      </c>
      <c r="AM187">
        <f>IFERROR(MIN(AL187,VLOOKUP(CONCATENATE(C187,"-to lingot"),negchutes,D187-2007,FALSE)),0)</f>
        <v>0</v>
      </c>
      <c r="AN187">
        <f t="shared" si="155"/>
        <v>0</v>
      </c>
      <c r="AO187" t="str">
        <f t="shared" si="184"/>
        <v>SO</v>
      </c>
      <c r="AP187">
        <f>IF(AR187=0,0,IFERROR(VLOOKUP(CONCATENATE($C187,"-to massif"),negchutes,$D187-2007,FALSE),0)*AM187/AR187)</f>
        <v>0</v>
      </c>
      <c r="AQ187">
        <f>IF(AR187=0,0,IFERROR(VLOOKUP(CONCATENATE($C187,"-to copeaux"),negchutes,$D187-2007,FALSE),0)*AM187/AR187)</f>
        <v>0</v>
      </c>
      <c r="AR187">
        <f>IFERROR(VLOOKUP(CONCATENATE($C187,"-to lingot"),negchutes,$D187-2007,FALSE),0)</f>
        <v>0</v>
      </c>
      <c r="AS187">
        <f>IF(AR187=0,0,AP187*VLOOKUP(CONCATENATE($C187,"-ac massif"),negchutes,$D187-2007,FALSE))</f>
        <v>0</v>
      </c>
      <c r="AT187">
        <f>IF(AR187=0,0,AQ187*VLOOKUP(CONCATENATE($C187,"-ac copeaux"),negchutes,$D187-2007,FALSE))</f>
        <v>0</v>
      </c>
      <c r="AU187">
        <f t="shared" si="180"/>
        <v>0</v>
      </c>
      <c r="AV187">
        <f>IFERROR(VLOOKUP(CONCATENATE(C187,"-px lingot"),negchutes,D187-2007,FALSE),0)*AM187</f>
        <v>0</v>
      </c>
      <c r="AW187">
        <f>AN187*VLOOKUP("Marché 1",pxlingot,D187-2010,FALSE)</f>
        <v>0</v>
      </c>
      <c r="AX187">
        <f t="shared" si="157"/>
        <v>0</v>
      </c>
      <c r="AY187" t="str">
        <f t="shared" si="181"/>
        <v>VAR</v>
      </c>
      <c r="AZ187">
        <f t="shared" si="182"/>
        <v>0</v>
      </c>
      <c r="BA187">
        <f>MAX(VLOOKUP(VLOOKUP(C187,descmarche,28,FALSE),pxlingot,D187-2010,FALSE),AX187)</f>
        <v>0</v>
      </c>
      <c r="BB187">
        <f t="shared" si="158"/>
        <v>0</v>
      </c>
      <c r="BC187" t="str">
        <f t="shared" si="183"/>
        <v>SO</v>
      </c>
    </row>
    <row r="188" spans="1:55" x14ac:dyDescent="0.25">
      <c r="A188" s="5" t="s">
        <v>16</v>
      </c>
      <c r="B188" s="4" t="s">
        <v>98</v>
      </c>
      <c r="C188" t="str">
        <f t="shared" si="160"/>
        <v>UKTMP-09</v>
      </c>
      <c r="D188">
        <v>2021</v>
      </c>
      <c r="E188">
        <v>0</v>
      </c>
      <c r="F188" t="str">
        <f t="shared" si="126"/>
        <v>Airbus hors AD</v>
      </c>
      <c r="G188" t="str">
        <f t="shared" si="161"/>
        <v>Contrat Airbus Structure hors AD</v>
      </c>
      <c r="H188">
        <f t="shared" si="162"/>
        <v>0</v>
      </c>
      <c r="I188">
        <f t="shared" si="163"/>
        <v>5</v>
      </c>
      <c r="J188">
        <f t="shared" si="164"/>
        <v>1210</v>
      </c>
      <c r="K188">
        <f t="shared" si="165"/>
        <v>0</v>
      </c>
      <c r="L188">
        <f t="shared" si="166"/>
        <v>0</v>
      </c>
      <c r="M188">
        <f t="shared" si="167"/>
        <v>0</v>
      </c>
      <c r="N188">
        <f t="shared" si="168"/>
        <v>0</v>
      </c>
      <c r="O188" t="str">
        <f t="shared" si="169"/>
        <v>Marché 1</v>
      </c>
      <c r="P188">
        <f>VLOOKUP(O188,pxmassif,D188-2010,FALSE)*M188</f>
        <v>0</v>
      </c>
      <c r="Q188">
        <f>VLOOKUP(O188,pxcopeau,D188-2010,FALSE)*N188</f>
        <v>0</v>
      </c>
      <c r="R188" t="str">
        <f t="shared" si="170"/>
        <v>SO</v>
      </c>
      <c r="S188">
        <f t="shared" si="171"/>
        <v>0</v>
      </c>
      <c r="T188">
        <f t="shared" si="172"/>
        <v>0</v>
      </c>
      <c r="U188" t="str">
        <f t="shared" si="173"/>
        <v>Marché 1</v>
      </c>
      <c r="V188">
        <f>VLOOKUP(U188,pxmassif,$D188-2010,FALSE)*S188</f>
        <v>0</v>
      </c>
      <c r="W188">
        <f>VLOOKUP(U188,pxcopeau,$D188-2010,FALSE)*T188</f>
        <v>0</v>
      </c>
      <c r="X188" t="str">
        <f t="shared" si="174"/>
        <v>SO</v>
      </c>
      <c r="Y188">
        <f t="shared" si="175"/>
        <v>0</v>
      </c>
      <c r="Z188">
        <f t="shared" si="176"/>
        <v>0</v>
      </c>
      <c r="AA188" t="str">
        <f t="shared" si="177"/>
        <v>Marché 1</v>
      </c>
      <c r="AB188">
        <f>VLOOKUP(AA188,pxmassif,$D188-2010,FALSE)*Y188</f>
        <v>0</v>
      </c>
      <c r="AC188">
        <f>VLOOKUP(AA188,pxcopeau,$D188-2010,FALSE)*Z188</f>
        <v>0</v>
      </c>
      <c r="AD188">
        <f t="shared" si="148"/>
        <v>0</v>
      </c>
      <c r="AE188">
        <f t="shared" si="149"/>
        <v>0</v>
      </c>
      <c r="AF188">
        <f t="shared" si="150"/>
        <v>0</v>
      </c>
      <c r="AG188">
        <f t="shared" si="151"/>
        <v>0</v>
      </c>
      <c r="AH188">
        <f t="shared" si="152"/>
        <v>0</v>
      </c>
      <c r="AI188">
        <f t="shared" si="153"/>
        <v>0</v>
      </c>
      <c r="AJ188">
        <f t="shared" si="154"/>
        <v>0</v>
      </c>
      <c r="AK188">
        <f t="shared" si="178"/>
        <v>0</v>
      </c>
      <c r="AL188">
        <f t="shared" si="179"/>
        <v>0</v>
      </c>
      <c r="AM188">
        <f>IFERROR(MIN(AL188,VLOOKUP(CONCATENATE(C188,"-to lingot"),negchutes,D188-2007,FALSE)),0)</f>
        <v>0</v>
      </c>
      <c r="AN188">
        <f t="shared" si="155"/>
        <v>0</v>
      </c>
      <c r="AO188" t="str">
        <f t="shared" si="184"/>
        <v>SO</v>
      </c>
      <c r="AP188">
        <f>IF(AR188=0,0,IFERROR(VLOOKUP(CONCATENATE($C188,"-to massif"),negchutes,$D188-2007,FALSE),0)*AM188/AR188)</f>
        <v>0</v>
      </c>
      <c r="AQ188">
        <f>IF(AR188=0,0,IFERROR(VLOOKUP(CONCATENATE($C188,"-to copeaux"),negchutes,$D188-2007,FALSE),0)*AM188/AR188)</f>
        <v>0</v>
      </c>
      <c r="AR188">
        <f>IFERROR(VLOOKUP(CONCATENATE($C188,"-to lingot"),negchutes,$D188-2007,FALSE),0)</f>
        <v>0</v>
      </c>
      <c r="AS188">
        <f>IF(AR188=0,0,AP188*VLOOKUP(CONCATENATE($C188,"-ac massif"),negchutes,$D188-2007,FALSE))</f>
        <v>0</v>
      </c>
      <c r="AT188">
        <f>IF(AR188=0,0,AQ188*VLOOKUP(CONCATENATE($C188,"-ac copeaux"),negchutes,$D188-2007,FALSE))</f>
        <v>0</v>
      </c>
      <c r="AU188">
        <f t="shared" si="180"/>
        <v>0</v>
      </c>
      <c r="AV188">
        <f>IFERROR(VLOOKUP(CONCATENATE(C188,"-px lingot"),negchutes,D188-2007,FALSE),0)*AM188</f>
        <v>0</v>
      </c>
      <c r="AW188">
        <f>AN188*VLOOKUP("Marché 1",pxlingot,D188-2010,FALSE)</f>
        <v>0</v>
      </c>
      <c r="AX188">
        <f t="shared" si="157"/>
        <v>0</v>
      </c>
      <c r="AY188" t="str">
        <f t="shared" si="181"/>
        <v>VAR</v>
      </c>
      <c r="AZ188">
        <f t="shared" si="182"/>
        <v>0</v>
      </c>
      <c r="BA188">
        <f>MAX(VLOOKUP(VLOOKUP(C188,descmarche,28,FALSE),pxlingot,D188-2010,FALSE),AX188)</f>
        <v>0</v>
      </c>
      <c r="BB188">
        <f t="shared" si="158"/>
        <v>0</v>
      </c>
      <c r="BC188" t="str">
        <f t="shared" si="183"/>
        <v>SO</v>
      </c>
    </row>
    <row r="189" spans="1:55" x14ac:dyDescent="0.25">
      <c r="A189" s="5" t="s">
        <v>16</v>
      </c>
      <c r="B189" s="4" t="s">
        <v>98</v>
      </c>
      <c r="C189" t="str">
        <f t="shared" si="160"/>
        <v>UKTMP-09</v>
      </c>
      <c r="D189">
        <v>2022</v>
      </c>
      <c r="E189">
        <v>0</v>
      </c>
      <c r="F189" t="str">
        <f t="shared" si="126"/>
        <v>Airbus hors AD</v>
      </c>
      <c r="G189" t="str">
        <f t="shared" si="161"/>
        <v>Contrat Airbus Structure hors AD</v>
      </c>
      <c r="H189">
        <f t="shared" si="162"/>
        <v>0</v>
      </c>
      <c r="I189">
        <f t="shared" si="163"/>
        <v>5</v>
      </c>
      <c r="J189">
        <f t="shared" si="164"/>
        <v>1210</v>
      </c>
      <c r="K189">
        <f t="shared" si="165"/>
        <v>0</v>
      </c>
      <c r="L189">
        <f t="shared" si="166"/>
        <v>0</v>
      </c>
      <c r="M189">
        <f t="shared" si="167"/>
        <v>0</v>
      </c>
      <c r="N189">
        <f t="shared" si="168"/>
        <v>0</v>
      </c>
      <c r="O189" t="str">
        <f t="shared" si="169"/>
        <v>Marché 1</v>
      </c>
      <c r="P189">
        <f>VLOOKUP(O189,pxmassif,D189-2010,FALSE)*M189</f>
        <v>0</v>
      </c>
      <c r="Q189">
        <f>VLOOKUP(O189,pxcopeau,D189-2010,FALSE)*N189</f>
        <v>0</v>
      </c>
      <c r="R189" t="str">
        <f t="shared" si="170"/>
        <v>SO</v>
      </c>
      <c r="S189">
        <f t="shared" si="171"/>
        <v>0</v>
      </c>
      <c r="T189">
        <f t="shared" si="172"/>
        <v>0</v>
      </c>
      <c r="U189" t="str">
        <f t="shared" si="173"/>
        <v>Marché 1</v>
      </c>
      <c r="V189">
        <f>VLOOKUP(U189,pxmassif,$D189-2010,FALSE)*S189</f>
        <v>0</v>
      </c>
      <c r="W189">
        <f>VLOOKUP(U189,pxcopeau,$D189-2010,FALSE)*T189</f>
        <v>0</v>
      </c>
      <c r="X189" t="str">
        <f t="shared" si="174"/>
        <v>SO</v>
      </c>
      <c r="Y189">
        <f t="shared" si="175"/>
        <v>0</v>
      </c>
      <c r="Z189">
        <f t="shared" si="176"/>
        <v>0</v>
      </c>
      <c r="AA189" t="str">
        <f t="shared" si="177"/>
        <v>Marché 1</v>
      </c>
      <c r="AB189">
        <f>VLOOKUP(AA189,pxmassif,$D189-2010,FALSE)*Y189</f>
        <v>0</v>
      </c>
      <c r="AC189">
        <f>VLOOKUP(AA189,pxcopeau,$D189-2010,FALSE)*Z189</f>
        <v>0</v>
      </c>
      <c r="AD189">
        <f t="shared" si="148"/>
        <v>0</v>
      </c>
      <c r="AE189">
        <f t="shared" si="149"/>
        <v>0</v>
      </c>
      <c r="AF189">
        <f t="shared" si="150"/>
        <v>0</v>
      </c>
      <c r="AG189">
        <f t="shared" si="151"/>
        <v>0</v>
      </c>
      <c r="AH189">
        <f t="shared" si="152"/>
        <v>0</v>
      </c>
      <c r="AI189">
        <f t="shared" si="153"/>
        <v>0</v>
      </c>
      <c r="AJ189">
        <f t="shared" si="154"/>
        <v>0</v>
      </c>
      <c r="AK189">
        <f t="shared" si="178"/>
        <v>0</v>
      </c>
      <c r="AL189">
        <f t="shared" si="179"/>
        <v>0</v>
      </c>
      <c r="AM189">
        <f>IFERROR(MIN(AL189,VLOOKUP(CONCATENATE(C189,"-to lingot"),negchutes,D189-2007,FALSE)),0)</f>
        <v>0</v>
      </c>
      <c r="AN189">
        <f t="shared" si="155"/>
        <v>0</v>
      </c>
      <c r="AO189" t="str">
        <f t="shared" si="184"/>
        <v>SO</v>
      </c>
      <c r="AP189">
        <f>IF(AR189=0,0,IFERROR(VLOOKUP(CONCATENATE($C189,"-to massif"),negchutes,$D189-2007,FALSE),0)*AM189/AR189)</f>
        <v>0</v>
      </c>
      <c r="AQ189">
        <f>IF(AR189=0,0,IFERROR(VLOOKUP(CONCATENATE($C189,"-to copeaux"),negchutes,$D189-2007,FALSE),0)*AM189/AR189)</f>
        <v>0</v>
      </c>
      <c r="AR189">
        <f>IFERROR(VLOOKUP(CONCATENATE($C189,"-to lingot"),negchutes,$D189-2007,FALSE),0)</f>
        <v>0</v>
      </c>
      <c r="AS189">
        <f>IF(AR189=0,0,AP189*VLOOKUP(CONCATENATE($C189,"-ac massif"),negchutes,$D189-2007,FALSE))</f>
        <v>0</v>
      </c>
      <c r="AT189">
        <f>IF(AR189=0,0,AQ189*VLOOKUP(CONCATENATE($C189,"-ac copeaux"),negchutes,$D189-2007,FALSE))</f>
        <v>0</v>
      </c>
      <c r="AU189">
        <f t="shared" si="180"/>
        <v>0</v>
      </c>
      <c r="AV189">
        <f>IFERROR(VLOOKUP(CONCATENATE(C189,"-px lingot"),negchutes,D189-2007,FALSE),0)*AM189</f>
        <v>0</v>
      </c>
      <c r="AW189">
        <f>AN189*VLOOKUP("Marché 1",pxlingot,D189-2010,FALSE)</f>
        <v>0</v>
      </c>
      <c r="AX189">
        <f t="shared" si="157"/>
        <v>0</v>
      </c>
      <c r="AY189" t="str">
        <f t="shared" si="181"/>
        <v>VAR</v>
      </c>
      <c r="AZ189">
        <f t="shared" si="182"/>
        <v>0</v>
      </c>
      <c r="BA189">
        <f>MAX(VLOOKUP(VLOOKUP(C189,descmarche,28,FALSE),pxlingot,D189-2010,FALSE),AX189)</f>
        <v>0</v>
      </c>
      <c r="BB189">
        <f t="shared" si="158"/>
        <v>0</v>
      </c>
      <c r="BC189" t="str">
        <f t="shared" si="183"/>
        <v>SO</v>
      </c>
    </row>
    <row r="190" spans="1:55" x14ac:dyDescent="0.25">
      <c r="A190" s="5" t="s">
        <v>16</v>
      </c>
      <c r="B190" s="4" t="s">
        <v>98</v>
      </c>
      <c r="C190" t="str">
        <f t="shared" si="160"/>
        <v>UKTMP-09</v>
      </c>
      <c r="D190">
        <v>2023</v>
      </c>
      <c r="E190">
        <v>0</v>
      </c>
      <c r="F190" t="str">
        <f t="shared" si="126"/>
        <v>Airbus hors AD</v>
      </c>
      <c r="G190" t="str">
        <f t="shared" si="161"/>
        <v>Contrat Airbus Structure hors AD</v>
      </c>
      <c r="H190">
        <f t="shared" si="162"/>
        <v>0</v>
      </c>
      <c r="I190">
        <f t="shared" si="163"/>
        <v>5</v>
      </c>
      <c r="J190">
        <f t="shared" si="164"/>
        <v>1210</v>
      </c>
      <c r="K190">
        <f t="shared" si="165"/>
        <v>0</v>
      </c>
      <c r="L190">
        <f t="shared" si="166"/>
        <v>0</v>
      </c>
      <c r="M190">
        <f t="shared" si="167"/>
        <v>0</v>
      </c>
      <c r="N190">
        <f t="shared" si="168"/>
        <v>0</v>
      </c>
      <c r="O190" t="str">
        <f t="shared" si="169"/>
        <v>Marché 1</v>
      </c>
      <c r="P190">
        <f>VLOOKUP(O190,pxmassif,D190-2010,FALSE)*M190</f>
        <v>0</v>
      </c>
      <c r="Q190">
        <f>VLOOKUP(O190,pxcopeau,D190-2010,FALSE)*N190</f>
        <v>0</v>
      </c>
      <c r="R190" t="str">
        <f t="shared" si="170"/>
        <v>SO</v>
      </c>
      <c r="S190">
        <f t="shared" si="171"/>
        <v>0</v>
      </c>
      <c r="T190">
        <f t="shared" si="172"/>
        <v>0</v>
      </c>
      <c r="U190" t="str">
        <f t="shared" si="173"/>
        <v>Marché 1</v>
      </c>
      <c r="V190">
        <f>VLOOKUP(U190,pxmassif,$D190-2010,FALSE)*S190</f>
        <v>0</v>
      </c>
      <c r="W190">
        <f>VLOOKUP(U190,pxcopeau,$D190-2010,FALSE)*T190</f>
        <v>0</v>
      </c>
      <c r="X190" t="str">
        <f t="shared" si="174"/>
        <v>SO</v>
      </c>
      <c r="Y190">
        <f t="shared" si="175"/>
        <v>0</v>
      </c>
      <c r="Z190">
        <f t="shared" si="176"/>
        <v>0</v>
      </c>
      <c r="AA190" t="str">
        <f t="shared" si="177"/>
        <v>Marché 1</v>
      </c>
      <c r="AB190">
        <f>VLOOKUP(AA190,pxmassif,$D190-2010,FALSE)*Y190</f>
        <v>0</v>
      </c>
      <c r="AC190">
        <f>VLOOKUP(AA190,pxcopeau,$D190-2010,FALSE)*Z190</f>
        <v>0</v>
      </c>
      <c r="AD190">
        <f t="shared" si="148"/>
        <v>0</v>
      </c>
      <c r="AE190">
        <f t="shared" si="149"/>
        <v>0</v>
      </c>
      <c r="AF190">
        <f t="shared" si="150"/>
        <v>0</v>
      </c>
      <c r="AG190">
        <f t="shared" si="151"/>
        <v>0</v>
      </c>
      <c r="AH190">
        <f t="shared" si="152"/>
        <v>0</v>
      </c>
      <c r="AI190">
        <f t="shared" si="153"/>
        <v>0</v>
      </c>
      <c r="AJ190">
        <f t="shared" si="154"/>
        <v>0</v>
      </c>
      <c r="AK190">
        <f t="shared" si="178"/>
        <v>0</v>
      </c>
      <c r="AL190">
        <f t="shared" si="179"/>
        <v>0</v>
      </c>
      <c r="AM190">
        <f>IFERROR(MIN(AL190,VLOOKUP(CONCATENATE(C190,"-to lingot"),negchutes,D190-2007,FALSE)),0)</f>
        <v>0</v>
      </c>
      <c r="AN190">
        <f t="shared" si="155"/>
        <v>0</v>
      </c>
      <c r="AO190" t="str">
        <f t="shared" si="184"/>
        <v>SO</v>
      </c>
      <c r="AP190">
        <f>IF(AR190=0,0,IFERROR(VLOOKUP(CONCATENATE($C190,"-to massif"),negchutes,$D190-2007,FALSE),0)*AM190/AR190)</f>
        <v>0</v>
      </c>
      <c r="AQ190">
        <f>IF(AR190=0,0,IFERROR(VLOOKUP(CONCATENATE($C190,"-to copeaux"),negchutes,$D190-2007,FALSE),0)*AM190/AR190)</f>
        <v>0</v>
      </c>
      <c r="AR190">
        <f>IFERROR(VLOOKUP(CONCATENATE($C190,"-to lingot"),negchutes,$D190-2007,FALSE),0)</f>
        <v>0</v>
      </c>
      <c r="AS190">
        <f>IF(AR190=0,0,AP190*VLOOKUP(CONCATENATE($C190,"-ac massif"),negchutes,$D190-2007,FALSE))</f>
        <v>0</v>
      </c>
      <c r="AT190">
        <f>IF(AR190=0,0,AQ190*VLOOKUP(CONCATENATE($C190,"-ac copeaux"),negchutes,$D190-2007,FALSE))</f>
        <v>0</v>
      </c>
      <c r="AU190">
        <f t="shared" si="180"/>
        <v>0</v>
      </c>
      <c r="AV190">
        <f>IFERROR(VLOOKUP(CONCATENATE(C190,"-px lingot"),negchutes,D190-2007,FALSE),0)*AM190</f>
        <v>0</v>
      </c>
      <c r="AW190">
        <f>AN190*VLOOKUP("Marché 1",pxlingot,D190-2010,FALSE)</f>
        <v>0</v>
      </c>
      <c r="AX190">
        <f t="shared" si="157"/>
        <v>0</v>
      </c>
      <c r="AY190" t="str">
        <f t="shared" si="181"/>
        <v>VAR</v>
      </c>
      <c r="AZ190">
        <f t="shared" si="182"/>
        <v>0</v>
      </c>
      <c r="BA190">
        <f>MAX(VLOOKUP(VLOOKUP(C190,descmarche,28,FALSE),pxlingot,D190-2010,FALSE),AX190)</f>
        <v>0</v>
      </c>
      <c r="BB190">
        <f t="shared" si="158"/>
        <v>0</v>
      </c>
      <c r="BC190" t="str">
        <f t="shared" si="183"/>
        <v>SO</v>
      </c>
    </row>
    <row r="191" spans="1:55" x14ac:dyDescent="0.25">
      <c r="A191" s="5" t="s">
        <v>16</v>
      </c>
      <c r="B191" s="4" t="s">
        <v>98</v>
      </c>
      <c r="C191" t="str">
        <f t="shared" si="160"/>
        <v>UKTMP-09</v>
      </c>
      <c r="D191">
        <v>2024</v>
      </c>
      <c r="E191">
        <v>0</v>
      </c>
      <c r="F191" t="str">
        <f t="shared" si="126"/>
        <v>Airbus hors AD</v>
      </c>
      <c r="G191" t="str">
        <f t="shared" si="161"/>
        <v>Contrat Airbus Structure hors AD</v>
      </c>
      <c r="H191">
        <f t="shared" si="162"/>
        <v>0</v>
      </c>
      <c r="I191">
        <f t="shared" si="163"/>
        <v>5</v>
      </c>
      <c r="J191">
        <f t="shared" si="164"/>
        <v>1210</v>
      </c>
      <c r="K191">
        <f t="shared" si="165"/>
        <v>0</v>
      </c>
      <c r="L191">
        <f t="shared" si="166"/>
        <v>0</v>
      </c>
      <c r="M191">
        <f t="shared" si="167"/>
        <v>0</v>
      </c>
      <c r="N191">
        <f t="shared" si="168"/>
        <v>0</v>
      </c>
      <c r="O191" t="str">
        <f t="shared" si="169"/>
        <v>Marché 1</v>
      </c>
      <c r="P191">
        <f>VLOOKUP(O191,pxmassif,D191-2010,FALSE)*M191</f>
        <v>0</v>
      </c>
      <c r="Q191">
        <f>VLOOKUP(O191,pxcopeau,D191-2010,FALSE)*N191</f>
        <v>0</v>
      </c>
      <c r="R191" t="str">
        <f t="shared" si="170"/>
        <v>SO</v>
      </c>
      <c r="S191">
        <f t="shared" si="171"/>
        <v>0</v>
      </c>
      <c r="T191">
        <f t="shared" si="172"/>
        <v>0</v>
      </c>
      <c r="U191" t="str">
        <f t="shared" si="173"/>
        <v>Marché 1</v>
      </c>
      <c r="V191">
        <f>VLOOKUP(U191,pxmassif,$D191-2010,FALSE)*S191</f>
        <v>0</v>
      </c>
      <c r="W191">
        <f>VLOOKUP(U191,pxcopeau,$D191-2010,FALSE)*T191</f>
        <v>0</v>
      </c>
      <c r="X191" t="str">
        <f t="shared" si="174"/>
        <v>SO</v>
      </c>
      <c r="Y191">
        <f t="shared" si="175"/>
        <v>0</v>
      </c>
      <c r="Z191">
        <f t="shared" si="176"/>
        <v>0</v>
      </c>
      <c r="AA191" t="str">
        <f t="shared" si="177"/>
        <v>Marché 1</v>
      </c>
      <c r="AB191">
        <f>VLOOKUP(AA191,pxmassif,$D191-2010,FALSE)*Y191</f>
        <v>0</v>
      </c>
      <c r="AC191">
        <f>VLOOKUP(AA191,pxcopeau,$D191-2010,FALSE)*Z191</f>
        <v>0</v>
      </c>
      <c r="AD191">
        <f t="shared" si="148"/>
        <v>0</v>
      </c>
      <c r="AE191">
        <f t="shared" si="149"/>
        <v>0</v>
      </c>
      <c r="AF191">
        <f t="shared" si="150"/>
        <v>0</v>
      </c>
      <c r="AG191">
        <f t="shared" si="151"/>
        <v>0</v>
      </c>
      <c r="AH191">
        <f t="shared" si="152"/>
        <v>0</v>
      </c>
      <c r="AI191">
        <f t="shared" si="153"/>
        <v>0</v>
      </c>
      <c r="AJ191">
        <f t="shared" si="154"/>
        <v>0</v>
      </c>
      <c r="AK191">
        <f t="shared" si="178"/>
        <v>0</v>
      </c>
      <c r="AL191">
        <f t="shared" si="179"/>
        <v>0</v>
      </c>
      <c r="AM191">
        <f>IFERROR(MIN(AL191,VLOOKUP(CONCATENATE(C191,"-to lingot"),negchutes,D191-2007,FALSE)),0)</f>
        <v>0</v>
      </c>
      <c r="AN191">
        <f t="shared" si="155"/>
        <v>0</v>
      </c>
      <c r="AO191" t="str">
        <f t="shared" si="184"/>
        <v>SO</v>
      </c>
      <c r="AP191">
        <f>IF(AR191=0,0,IFERROR(VLOOKUP(CONCATENATE($C191,"-to massif"),negchutes,$D191-2007,FALSE),0)*AM191/AR191)</f>
        <v>0</v>
      </c>
      <c r="AQ191">
        <f>IF(AR191=0,0,IFERROR(VLOOKUP(CONCATENATE($C191,"-to copeaux"),negchutes,$D191-2007,FALSE),0)*AM191/AR191)</f>
        <v>0</v>
      </c>
      <c r="AR191">
        <f>IFERROR(VLOOKUP(CONCATENATE($C191,"-to lingot"),negchutes,$D191-2007,FALSE),0)</f>
        <v>0</v>
      </c>
      <c r="AS191">
        <f>IF(AR191=0,0,AP191*VLOOKUP(CONCATENATE($C191,"-ac massif"),negchutes,$D191-2007,FALSE))</f>
        <v>0</v>
      </c>
      <c r="AT191">
        <f>IF(AR191=0,0,AQ191*VLOOKUP(CONCATENATE($C191,"-ac copeaux"),negchutes,$D191-2007,FALSE))</f>
        <v>0</v>
      </c>
      <c r="AU191">
        <f t="shared" si="180"/>
        <v>0</v>
      </c>
      <c r="AV191">
        <f>IFERROR(VLOOKUP(CONCATENATE(C191,"-px lingot"),negchutes,D191-2007,FALSE),0)*AM191</f>
        <v>0</v>
      </c>
      <c r="AW191">
        <f>AN191*VLOOKUP("Marché 1",pxlingot,D191-2010,FALSE)</f>
        <v>0</v>
      </c>
      <c r="AX191">
        <f t="shared" si="157"/>
        <v>0</v>
      </c>
      <c r="AY191" t="str">
        <f t="shared" si="181"/>
        <v>VAR</v>
      </c>
      <c r="AZ191">
        <f t="shared" si="182"/>
        <v>0</v>
      </c>
      <c r="BA191">
        <f>MAX(VLOOKUP(VLOOKUP(C191,descmarche,28,FALSE),pxlingot,D191-2010,FALSE),AX191)</f>
        <v>0</v>
      </c>
      <c r="BB191">
        <f t="shared" si="158"/>
        <v>0</v>
      </c>
      <c r="BC191" t="str">
        <f t="shared" si="183"/>
        <v>SO</v>
      </c>
    </row>
    <row r="192" spans="1:55" x14ac:dyDescent="0.25">
      <c r="A192" s="5" t="s">
        <v>69</v>
      </c>
      <c r="B192" s="4" t="s">
        <v>98</v>
      </c>
      <c r="C192" t="str">
        <f t="shared" si="160"/>
        <v>EcoTi-09</v>
      </c>
      <c r="D192">
        <v>2016</v>
      </c>
      <c r="E192">
        <v>0</v>
      </c>
      <c r="F192" t="str">
        <f t="shared" si="126"/>
        <v>Motoristes Pièces</v>
      </c>
      <c r="G192" t="str">
        <f t="shared" si="161"/>
        <v>Motoristes Pièces source EcoTi Double Melt</v>
      </c>
      <c r="H192" t="str">
        <f t="shared" si="162"/>
        <v>Moteurs</v>
      </c>
      <c r="I192">
        <f t="shared" si="163"/>
        <v>5</v>
      </c>
      <c r="J192">
        <f t="shared" si="164"/>
        <v>1210</v>
      </c>
      <c r="K192">
        <f t="shared" si="165"/>
        <v>0</v>
      </c>
      <c r="L192">
        <f t="shared" si="166"/>
        <v>0</v>
      </c>
      <c r="M192">
        <f t="shared" si="167"/>
        <v>0</v>
      </c>
      <c r="N192">
        <f t="shared" si="168"/>
        <v>0</v>
      </c>
      <c r="O192" t="str">
        <f t="shared" si="169"/>
        <v>Circ 1</v>
      </c>
      <c r="P192">
        <f>VLOOKUP(O192,pxmassif,D192-2010,FALSE)*M192</f>
        <v>0</v>
      </c>
      <c r="Q192">
        <f>VLOOKUP(O192,pxcopeau,D192-2010,FALSE)*N192</f>
        <v>0</v>
      </c>
      <c r="R192" t="str">
        <f>VLOOKUP(C192,descmarche,22,FALSE)</f>
        <v>AD PAMIERS</v>
      </c>
      <c r="S192">
        <f t="shared" si="171"/>
        <v>0</v>
      </c>
      <c r="T192">
        <f>VLOOKUP($C192,descmarche,16,FALSE)*$E192*VLOOKUP(R192,recupchute,3,FALSE)</f>
        <v>0</v>
      </c>
      <c r="U192" t="str">
        <f t="shared" si="173"/>
        <v>Circ 1</v>
      </c>
      <c r="V192">
        <f>VLOOKUP(U192,pxmassif,$D192-2010,FALSE)*S192</f>
        <v>0</v>
      </c>
      <c r="W192">
        <f>VLOOKUP(U192,pxcopeau,$D192-2010,FALSE)*T192</f>
        <v>0</v>
      </c>
      <c r="X192" t="str">
        <f>VLOOKUP(C192,descmarche,23,FALSE)</f>
        <v>Client</v>
      </c>
      <c r="Y192">
        <f t="shared" si="175"/>
        <v>0</v>
      </c>
      <c r="Z192">
        <f>VLOOKUP($C192,descmarche,19,FALSE)*$E192*VLOOKUP(X192,recupchute,3,FALSE)</f>
        <v>0</v>
      </c>
      <c r="AA192" t="str">
        <f t="shared" si="177"/>
        <v>Circ 1</v>
      </c>
      <c r="AB192">
        <f>VLOOKUP(AA192,pxmassif,$D192-2010,FALSE)*Y192</f>
        <v>0</v>
      </c>
      <c r="AC192">
        <f>VLOOKUP(AA192,pxcopeau,$D192-2010,FALSE)*Z192</f>
        <v>0</v>
      </c>
      <c r="AD192">
        <f>M192+S192</f>
        <v>0</v>
      </c>
      <c r="AE192">
        <f>N192+T192</f>
        <v>0</v>
      </c>
      <c r="AF192">
        <f>M192+N192</f>
        <v>0</v>
      </c>
      <c r="AG192">
        <f>S192+T192</f>
        <v>0</v>
      </c>
      <c r="AH192">
        <f>Y192+Z192</f>
        <v>0</v>
      </c>
      <c r="AI192">
        <f>M192+S192+Y192</f>
        <v>0</v>
      </c>
      <c r="AJ192">
        <f>N192+T192+Z192</f>
        <v>0</v>
      </c>
      <c r="AK192">
        <f>VLOOKUP(C192,descmarche,26,FALSE)*E192</f>
        <v>0</v>
      </c>
      <c r="AL192">
        <f>IF(A192="EcoTI",VLOOKUP(C192,descmarche,27,FALSE)*E192,0)</f>
        <v>0</v>
      </c>
      <c r="AM192">
        <f>IFERROR(MIN(AL192,VLOOKUP(CONCATENATE(C192,"-to lingot"),negchutes,D192-2007,FALSE)),0)</f>
        <v>0</v>
      </c>
      <c r="AN192">
        <f t="shared" si="155"/>
        <v>0</v>
      </c>
      <c r="AO192" t="str">
        <f>VLOOKUP(C192,descmarche,28,FALSE)</f>
        <v>Circ 1</v>
      </c>
      <c r="AP192">
        <f>IF(AR192=0,0,IFERROR(VLOOKUP(CONCATENATE($C192,"-to massif"),negchutes,$D192-2007,FALSE),0)*AM192/AR192)</f>
        <v>0</v>
      </c>
      <c r="AQ192">
        <f>IF(AR192=0,0,IFERROR(VLOOKUP(CONCATENATE($C192,"-to copeaux"),negchutes,$D192-2007,FALSE),0)*AM192/AR192)</f>
        <v>0</v>
      </c>
      <c r="AR192">
        <f>IFERROR(VLOOKUP(CONCATENATE($C192,"-to lingot"),negchutes,$D192-2007,FALSE),0)</f>
        <v>0</v>
      </c>
      <c r="AS192">
        <f>IF(AR192=0,0,AP192*VLOOKUP(CONCATENATE($C192,"-ac massif"),negchutes,$D192-2007,FALSE))</f>
        <v>0</v>
      </c>
      <c r="AT192">
        <f>IF(AR192=0,0,AQ192*VLOOKUP(CONCATENATE($C192,"-ac copeaux"),negchutes,$D192-2007,FALSE))</f>
        <v>0</v>
      </c>
      <c r="AU192">
        <f>AK192*VLOOKUP(AO192,pxlingot,D192-2010,FALSE)</f>
        <v>0</v>
      </c>
      <c r="AV192">
        <f>IFERROR(VLOOKUP(CONCATENATE(C192,"-px lingot"),negchutes,D192-2007,FALSE),0)*AM192</f>
        <v>0</v>
      </c>
      <c r="AW192">
        <f>AN192*VLOOKUP("Marché 1",pxlingot,D192-2010,FALSE)</f>
        <v>0</v>
      </c>
      <c r="AX192">
        <f t="shared" si="157"/>
        <v>0</v>
      </c>
      <c r="AY192" t="str">
        <f t="shared" si="181"/>
        <v>2xVAR</v>
      </c>
      <c r="AZ192">
        <f t="shared" si="182"/>
        <v>0</v>
      </c>
      <c r="BA192">
        <f>MAX(VLOOKUP(VLOOKUP(C192,descmarche,28,FALSE),pxlingot,D192-2010,FALSE),AX192)</f>
        <v>15.5</v>
      </c>
      <c r="BB192">
        <f t="shared" si="158"/>
        <v>0</v>
      </c>
      <c r="BC192" t="str">
        <f>VLOOKUP(C192,descmarche,28,FALSE)</f>
        <v>Circ 1</v>
      </c>
    </row>
    <row r="193" spans="1:55" x14ac:dyDescent="0.25">
      <c r="A193" s="5" t="s">
        <v>69</v>
      </c>
      <c r="B193" s="4" t="s">
        <v>98</v>
      </c>
      <c r="C193" t="str">
        <f t="shared" ref="C193:C200" si="185">CONCATENATE(A193,"-",B193)</f>
        <v>EcoTi-09</v>
      </c>
      <c r="D193">
        <v>2017</v>
      </c>
      <c r="E193">
        <v>0</v>
      </c>
      <c r="F193" t="str">
        <f t="shared" si="126"/>
        <v>Motoristes Pièces</v>
      </c>
      <c r="G193" t="str">
        <f t="shared" si="161"/>
        <v>Motoristes Pièces source EcoTi Double Melt</v>
      </c>
      <c r="H193" t="str">
        <f t="shared" si="162"/>
        <v>Moteurs</v>
      </c>
      <c r="I193">
        <f t="shared" si="163"/>
        <v>5</v>
      </c>
      <c r="J193">
        <f t="shared" si="164"/>
        <v>1210</v>
      </c>
      <c r="K193">
        <f t="shared" si="165"/>
        <v>0</v>
      </c>
      <c r="L193">
        <f t="shared" si="166"/>
        <v>0</v>
      </c>
      <c r="M193">
        <f t="shared" si="167"/>
        <v>0</v>
      </c>
      <c r="N193">
        <f t="shared" si="168"/>
        <v>0</v>
      </c>
      <c r="O193" t="str">
        <f t="shared" si="169"/>
        <v>Circ 1</v>
      </c>
      <c r="P193">
        <f>VLOOKUP(O193,pxmassif,D193-2010,FALSE)*M193</f>
        <v>0</v>
      </c>
      <c r="Q193">
        <f>VLOOKUP(O193,pxcopeau,D193-2010,FALSE)*N193</f>
        <v>0</v>
      </c>
      <c r="R193" t="str">
        <f t="shared" ref="R193:R200" si="186">VLOOKUP(C193,descmarche,22,FALSE)</f>
        <v>AD PAMIERS</v>
      </c>
      <c r="S193">
        <f t="shared" si="171"/>
        <v>0</v>
      </c>
      <c r="T193">
        <f t="shared" ref="T193:T200" si="187">VLOOKUP($C193,descmarche,16,FALSE)*$E193*VLOOKUP(R193,recupchute,3,FALSE)</f>
        <v>0</v>
      </c>
      <c r="U193" t="str">
        <f t="shared" si="173"/>
        <v>Circ 1</v>
      </c>
      <c r="V193">
        <f>VLOOKUP(U193,pxmassif,$D193-2010,FALSE)*S193</f>
        <v>0</v>
      </c>
      <c r="W193">
        <f>VLOOKUP(U193,pxcopeau,$D193-2010,FALSE)*T193</f>
        <v>0</v>
      </c>
      <c r="X193" t="str">
        <f t="shared" ref="X193:X200" si="188">VLOOKUP(C193,descmarche,23,FALSE)</f>
        <v>Client</v>
      </c>
      <c r="Y193">
        <f t="shared" si="175"/>
        <v>0</v>
      </c>
      <c r="Z193">
        <f t="shared" ref="Z193:Z200" si="189">VLOOKUP($C193,descmarche,19,FALSE)*$E193*VLOOKUP(X193,recupchute,3,FALSE)</f>
        <v>0</v>
      </c>
      <c r="AA193" t="str">
        <f t="shared" si="177"/>
        <v>Circ 1</v>
      </c>
      <c r="AB193">
        <f>VLOOKUP(AA193,pxmassif,$D193-2010,FALSE)*Y193</f>
        <v>0</v>
      </c>
      <c r="AC193">
        <f>VLOOKUP(AA193,pxcopeau,$D193-2010,FALSE)*Z193</f>
        <v>0</v>
      </c>
      <c r="AD193">
        <f t="shared" ref="AD193:AD200" si="190">M193+S193</f>
        <v>0</v>
      </c>
      <c r="AE193">
        <f t="shared" ref="AE193:AE200" si="191">N193+T193</f>
        <v>0</v>
      </c>
      <c r="AF193">
        <f t="shared" ref="AF193:AF200" si="192">M193+N193</f>
        <v>0</v>
      </c>
      <c r="AG193">
        <f t="shared" ref="AG193:AG200" si="193">S193+T193</f>
        <v>0</v>
      </c>
      <c r="AH193">
        <f t="shared" ref="AH193:AH200" si="194">Y193+Z193</f>
        <v>0</v>
      </c>
      <c r="AI193">
        <f t="shared" ref="AI193:AI200" si="195">M193+S193+Y193</f>
        <v>0</v>
      </c>
      <c r="AJ193">
        <f t="shared" ref="AJ193:AJ200" si="196">N193+T193+Z193</f>
        <v>0</v>
      </c>
      <c r="AK193">
        <f t="shared" ref="AK193:AK200" si="197">VLOOKUP(C193,descmarche,26,FALSE)*E193</f>
        <v>0</v>
      </c>
      <c r="AL193">
        <f t="shared" ref="AL193:AL200" si="198">IF(A193="EcoTI",VLOOKUP(C193,descmarche,27,FALSE)*E193,0)</f>
        <v>0</v>
      </c>
      <c r="AM193">
        <f>IFERROR(MIN(AL193,VLOOKUP(CONCATENATE(C193,"-to lingot"),negchutes,D193-2007,FALSE)),0)</f>
        <v>0</v>
      </c>
      <c r="AN193">
        <f t="shared" si="155"/>
        <v>0</v>
      </c>
      <c r="AO193" t="str">
        <f t="shared" ref="AO193:AO200" si="199">VLOOKUP(C193,descmarche,28,FALSE)</f>
        <v>Circ 1</v>
      </c>
      <c r="AP193">
        <f>IF(AR193=0,0,IFERROR(VLOOKUP(CONCATENATE($C193,"-to massif"),negchutes,$D193-2007,FALSE),0)*AM193/AR193)</f>
        <v>0</v>
      </c>
      <c r="AQ193">
        <f>IF(AR193=0,0,IFERROR(VLOOKUP(CONCATENATE($C193,"-to copeaux"),negchutes,$D193-2007,FALSE),0)*AM193/AR193)</f>
        <v>0</v>
      </c>
      <c r="AR193">
        <f>IFERROR(VLOOKUP(CONCATENATE($C193,"-to lingot"),negchutes,$D193-2007,FALSE),0)</f>
        <v>0</v>
      </c>
      <c r="AS193">
        <f>IF(AR193=0,0,AP193*VLOOKUP(CONCATENATE($C193,"-ac massif"),negchutes,$D193-2007,FALSE))</f>
        <v>0</v>
      </c>
      <c r="AT193">
        <f>IF(AR193=0,0,AQ193*VLOOKUP(CONCATENATE($C193,"-ac copeaux"),negchutes,$D193-2007,FALSE))</f>
        <v>0</v>
      </c>
      <c r="AU193">
        <f t="shared" ref="AU193:AU200" si="200">AK193*VLOOKUP(AO193,pxlingot,D193-2010,FALSE)</f>
        <v>0</v>
      </c>
      <c r="AV193">
        <f>IFERROR(VLOOKUP(CONCATENATE(C193,"-px lingot"),negchutes,D193-2007,FALSE),0)*AM193</f>
        <v>0</v>
      </c>
      <c r="AW193">
        <f>AN193*VLOOKUP("Marché 1",pxlingot,D193-2010,FALSE)</f>
        <v>0</v>
      </c>
      <c r="AX193">
        <f t="shared" si="157"/>
        <v>0</v>
      </c>
      <c r="AY193" t="str">
        <f t="shared" si="181"/>
        <v>2xVAR</v>
      </c>
      <c r="AZ193">
        <f t="shared" si="182"/>
        <v>0</v>
      </c>
      <c r="BA193">
        <f>MAX(VLOOKUP(VLOOKUP(C193,descmarche,28,FALSE),pxlingot,D193-2010,FALSE),AX193)</f>
        <v>15.5</v>
      </c>
      <c r="BB193">
        <f t="shared" si="158"/>
        <v>0</v>
      </c>
      <c r="BC193" t="str">
        <f t="shared" ref="BC193:BC200" si="201">VLOOKUP(C193,descmarche,28,FALSE)</f>
        <v>Circ 1</v>
      </c>
    </row>
    <row r="194" spans="1:55" x14ac:dyDescent="0.25">
      <c r="A194" s="5" t="s">
        <v>69</v>
      </c>
      <c r="B194" s="4" t="s">
        <v>98</v>
      </c>
      <c r="C194" t="str">
        <f t="shared" si="185"/>
        <v>EcoTi-09</v>
      </c>
      <c r="D194">
        <v>2018</v>
      </c>
      <c r="E194">
        <v>0</v>
      </c>
      <c r="F194" t="str">
        <f t="shared" si="126"/>
        <v>Motoristes Pièces</v>
      </c>
      <c r="G194" t="str">
        <f t="shared" si="161"/>
        <v>Motoristes Pièces source EcoTi Double Melt</v>
      </c>
      <c r="H194" t="str">
        <f t="shared" si="162"/>
        <v>Moteurs</v>
      </c>
      <c r="I194">
        <f t="shared" si="163"/>
        <v>5</v>
      </c>
      <c r="J194">
        <f t="shared" si="164"/>
        <v>1210</v>
      </c>
      <c r="K194">
        <f t="shared" si="165"/>
        <v>0</v>
      </c>
      <c r="L194">
        <f t="shared" si="166"/>
        <v>0</v>
      </c>
      <c r="M194">
        <f t="shared" si="167"/>
        <v>0</v>
      </c>
      <c r="N194">
        <f t="shared" si="168"/>
        <v>0</v>
      </c>
      <c r="O194" t="str">
        <f t="shared" si="169"/>
        <v>Circ 1</v>
      </c>
      <c r="P194">
        <f>VLOOKUP(O194,pxmassif,D194-2010,FALSE)*M194</f>
        <v>0</v>
      </c>
      <c r="Q194">
        <f>VLOOKUP(O194,pxcopeau,D194-2010,FALSE)*N194</f>
        <v>0</v>
      </c>
      <c r="R194" t="str">
        <f t="shared" si="186"/>
        <v>AD PAMIERS</v>
      </c>
      <c r="S194">
        <f t="shared" si="171"/>
        <v>0</v>
      </c>
      <c r="T194">
        <f t="shared" si="187"/>
        <v>0</v>
      </c>
      <c r="U194" t="str">
        <f t="shared" si="173"/>
        <v>Circ 1</v>
      </c>
      <c r="V194">
        <f>VLOOKUP(U194,pxmassif,$D194-2010,FALSE)*S194</f>
        <v>0</v>
      </c>
      <c r="W194">
        <f>VLOOKUP(U194,pxcopeau,$D194-2010,FALSE)*T194</f>
        <v>0</v>
      </c>
      <c r="X194" t="str">
        <f t="shared" si="188"/>
        <v>Client</v>
      </c>
      <c r="Y194">
        <f t="shared" si="175"/>
        <v>0</v>
      </c>
      <c r="Z194">
        <f t="shared" si="189"/>
        <v>0</v>
      </c>
      <c r="AA194" t="str">
        <f t="shared" si="177"/>
        <v>Circ 1</v>
      </c>
      <c r="AB194">
        <f>VLOOKUP(AA194,pxmassif,$D194-2010,FALSE)*Y194</f>
        <v>0</v>
      </c>
      <c r="AC194">
        <f>VLOOKUP(AA194,pxcopeau,$D194-2010,FALSE)*Z194</f>
        <v>0</v>
      </c>
      <c r="AD194">
        <f t="shared" si="190"/>
        <v>0</v>
      </c>
      <c r="AE194">
        <f t="shared" si="191"/>
        <v>0</v>
      </c>
      <c r="AF194">
        <f t="shared" si="192"/>
        <v>0</v>
      </c>
      <c r="AG194">
        <f t="shared" si="193"/>
        <v>0</v>
      </c>
      <c r="AH194">
        <f t="shared" si="194"/>
        <v>0</v>
      </c>
      <c r="AI194">
        <f t="shared" si="195"/>
        <v>0</v>
      </c>
      <c r="AJ194">
        <f t="shared" si="196"/>
        <v>0</v>
      </c>
      <c r="AK194">
        <f t="shared" si="197"/>
        <v>0</v>
      </c>
      <c r="AL194">
        <f t="shared" si="198"/>
        <v>0</v>
      </c>
      <c r="AM194">
        <f>IFERROR(MIN(AL194,VLOOKUP(CONCATENATE(C194,"-to lingot"),negchutes,D194-2007,FALSE)),0)</f>
        <v>0</v>
      </c>
      <c r="AN194">
        <f t="shared" si="155"/>
        <v>0</v>
      </c>
      <c r="AO194" t="str">
        <f t="shared" si="199"/>
        <v>Circ 1</v>
      </c>
      <c r="AP194">
        <f>IF(AR194=0,0,IFERROR(VLOOKUP(CONCATENATE($C194,"-to massif"),negchutes,$D194-2007,FALSE),0)*AM194/AR194)</f>
        <v>0</v>
      </c>
      <c r="AQ194">
        <f>IF(AR194=0,0,IFERROR(VLOOKUP(CONCATENATE($C194,"-to copeaux"),negchutes,$D194-2007,FALSE),0)*AM194/AR194)</f>
        <v>0</v>
      </c>
      <c r="AR194">
        <f>IFERROR(VLOOKUP(CONCATENATE($C194,"-to lingot"),negchutes,$D194-2007,FALSE),0)</f>
        <v>0</v>
      </c>
      <c r="AS194">
        <f>IF(AR194=0,0,AP194*VLOOKUP(CONCATENATE($C194,"-ac massif"),negchutes,$D194-2007,FALSE))</f>
        <v>0</v>
      </c>
      <c r="AT194">
        <f>IF(AR194=0,0,AQ194*VLOOKUP(CONCATENATE($C194,"-ac copeaux"),negchutes,$D194-2007,FALSE))</f>
        <v>0</v>
      </c>
      <c r="AU194">
        <f t="shared" si="200"/>
        <v>0</v>
      </c>
      <c r="AV194">
        <f>IFERROR(VLOOKUP(CONCATENATE(C194,"-px lingot"),negchutes,D194-2007,FALSE),0)*AM194</f>
        <v>0</v>
      </c>
      <c r="AW194">
        <f>AN194*VLOOKUP("Marché 1",pxlingot,D194-2010,FALSE)</f>
        <v>0</v>
      </c>
      <c r="AX194">
        <f t="shared" si="157"/>
        <v>0</v>
      </c>
      <c r="AY194" t="str">
        <f t="shared" si="181"/>
        <v>2xVAR</v>
      </c>
      <c r="AZ194">
        <f t="shared" si="182"/>
        <v>0</v>
      </c>
      <c r="BA194">
        <f>MAX(VLOOKUP(VLOOKUP(C194,descmarche,28,FALSE),pxlingot,D194-2010,FALSE),AX194)</f>
        <v>15.5</v>
      </c>
      <c r="BB194">
        <f t="shared" si="158"/>
        <v>0</v>
      </c>
      <c r="BC194" t="str">
        <f t="shared" si="201"/>
        <v>Circ 1</v>
      </c>
    </row>
    <row r="195" spans="1:55" x14ac:dyDescent="0.25">
      <c r="A195" s="5" t="s">
        <v>69</v>
      </c>
      <c r="B195" s="4" t="s">
        <v>98</v>
      </c>
      <c r="C195" t="str">
        <f t="shared" si="185"/>
        <v>EcoTi-09</v>
      </c>
      <c r="D195">
        <v>2019</v>
      </c>
      <c r="E195">
        <v>0</v>
      </c>
      <c r="F195" t="str">
        <f t="shared" ref="F195:F200" si="202">VLOOKUP($C195,descmarche,4,FALSE)</f>
        <v>Motoristes Pièces</v>
      </c>
      <c r="G195" t="str">
        <f t="shared" si="161"/>
        <v>Motoristes Pièces source EcoTi Double Melt</v>
      </c>
      <c r="H195" t="str">
        <f t="shared" si="162"/>
        <v>Moteurs</v>
      </c>
      <c r="I195">
        <f t="shared" si="163"/>
        <v>5</v>
      </c>
      <c r="J195">
        <f t="shared" si="164"/>
        <v>1210</v>
      </c>
      <c r="K195">
        <f t="shared" si="165"/>
        <v>0</v>
      </c>
      <c r="L195">
        <f t="shared" si="166"/>
        <v>0</v>
      </c>
      <c r="M195">
        <f t="shared" si="167"/>
        <v>0</v>
      </c>
      <c r="N195">
        <f t="shared" si="168"/>
        <v>0</v>
      </c>
      <c r="O195" t="str">
        <f t="shared" si="169"/>
        <v>Circ 1</v>
      </c>
      <c r="P195">
        <f>VLOOKUP(O195,pxmassif,D195-2010,FALSE)*M195</f>
        <v>0</v>
      </c>
      <c r="Q195">
        <f>VLOOKUP(O195,pxcopeau,D195-2010,FALSE)*N195</f>
        <v>0</v>
      </c>
      <c r="R195" t="str">
        <f t="shared" si="186"/>
        <v>AD PAMIERS</v>
      </c>
      <c r="S195">
        <f t="shared" si="171"/>
        <v>0</v>
      </c>
      <c r="T195">
        <f t="shared" si="187"/>
        <v>0</v>
      </c>
      <c r="U195" t="str">
        <f t="shared" si="173"/>
        <v>Circ 1</v>
      </c>
      <c r="V195">
        <f>VLOOKUP(U195,pxmassif,$D195-2010,FALSE)*S195</f>
        <v>0</v>
      </c>
      <c r="W195">
        <f>VLOOKUP(U195,pxcopeau,$D195-2010,FALSE)*T195</f>
        <v>0</v>
      </c>
      <c r="X195" t="str">
        <f t="shared" si="188"/>
        <v>Client</v>
      </c>
      <c r="Y195">
        <f t="shared" si="175"/>
        <v>0</v>
      </c>
      <c r="Z195">
        <f t="shared" si="189"/>
        <v>0</v>
      </c>
      <c r="AA195" t="str">
        <f t="shared" si="177"/>
        <v>Circ 1</v>
      </c>
      <c r="AB195">
        <f>VLOOKUP(AA195,pxmassif,$D195-2010,FALSE)*Y195</f>
        <v>0</v>
      </c>
      <c r="AC195">
        <f>VLOOKUP(AA195,pxcopeau,$D195-2010,FALSE)*Z195</f>
        <v>0</v>
      </c>
      <c r="AD195">
        <f t="shared" si="190"/>
        <v>0</v>
      </c>
      <c r="AE195">
        <f t="shared" si="191"/>
        <v>0</v>
      </c>
      <c r="AF195">
        <f t="shared" si="192"/>
        <v>0</v>
      </c>
      <c r="AG195">
        <f t="shared" si="193"/>
        <v>0</v>
      </c>
      <c r="AH195">
        <f t="shared" si="194"/>
        <v>0</v>
      </c>
      <c r="AI195">
        <f t="shared" si="195"/>
        <v>0</v>
      </c>
      <c r="AJ195">
        <f t="shared" si="196"/>
        <v>0</v>
      </c>
      <c r="AK195">
        <f t="shared" si="197"/>
        <v>0</v>
      </c>
      <c r="AL195">
        <f t="shared" si="198"/>
        <v>0</v>
      </c>
      <c r="AM195">
        <f>IFERROR(MIN(AL195,VLOOKUP(CONCATENATE(C195,"-to lingot"),negchutes,D195-2007,FALSE)),0)</f>
        <v>0</v>
      </c>
      <c r="AN195">
        <f t="shared" si="155"/>
        <v>0</v>
      </c>
      <c r="AO195" t="str">
        <f t="shared" si="199"/>
        <v>Circ 1</v>
      </c>
      <c r="AP195">
        <f>IF(AR195=0,0,IFERROR(VLOOKUP(CONCATENATE($C195,"-to massif"),negchutes,$D195-2007,FALSE),0)*AM195/AR195)</f>
        <v>0</v>
      </c>
      <c r="AQ195">
        <f>IF(AR195=0,0,IFERROR(VLOOKUP(CONCATENATE($C195,"-to copeaux"),negchutes,$D195-2007,FALSE),0)*AM195/AR195)</f>
        <v>0</v>
      </c>
      <c r="AR195">
        <f>IFERROR(VLOOKUP(CONCATENATE($C195,"-to lingot"),negchutes,$D195-2007,FALSE),0)</f>
        <v>0</v>
      </c>
      <c r="AS195">
        <f>IF(AR195=0,0,AP195*VLOOKUP(CONCATENATE($C195,"-ac massif"),negchutes,$D195-2007,FALSE))</f>
        <v>0</v>
      </c>
      <c r="AT195">
        <f>IF(AR195=0,0,AQ195*VLOOKUP(CONCATENATE($C195,"-ac copeaux"),negchutes,$D195-2007,FALSE))</f>
        <v>0</v>
      </c>
      <c r="AU195">
        <f t="shared" si="200"/>
        <v>0</v>
      </c>
      <c r="AV195">
        <f>IFERROR(VLOOKUP(CONCATENATE(C195,"-px lingot"),negchutes,D195-2007,FALSE),0)*AM195</f>
        <v>0</v>
      </c>
      <c r="AW195">
        <f>AN195*VLOOKUP("Marché 1",pxlingot,D195-2010,FALSE)</f>
        <v>0</v>
      </c>
      <c r="AX195">
        <f t="shared" si="157"/>
        <v>0</v>
      </c>
      <c r="AY195" t="str">
        <f t="shared" ref="AY195:AY200" si="203">VLOOKUP(C195,descmarche,21,FALSE)</f>
        <v>2xVAR</v>
      </c>
      <c r="AZ195">
        <f t="shared" ref="AZ195:AZ226" si="204">M195*VLOOKUP(AY195,convchutes,2,FALSE)+N195*VLOOKUP(AY195,convchutes,3,FALSE)</f>
        <v>0</v>
      </c>
      <c r="BA195">
        <f>MAX(VLOOKUP(VLOOKUP(C195,descmarche,28,FALSE),pxlingot,D195-2010,FALSE),AX195)</f>
        <v>15.5</v>
      </c>
      <c r="BB195">
        <f t="shared" si="158"/>
        <v>0</v>
      </c>
      <c r="BC195" t="str">
        <f t="shared" si="201"/>
        <v>Circ 1</v>
      </c>
    </row>
    <row r="196" spans="1:55" x14ac:dyDescent="0.25">
      <c r="A196" s="5" t="s">
        <v>69</v>
      </c>
      <c r="B196" s="4" t="s">
        <v>98</v>
      </c>
      <c r="C196" t="str">
        <f t="shared" si="185"/>
        <v>EcoTi-09</v>
      </c>
      <c r="D196">
        <v>2020</v>
      </c>
      <c r="E196">
        <v>50</v>
      </c>
      <c r="F196" t="str">
        <f t="shared" si="202"/>
        <v>Motoristes Pièces</v>
      </c>
      <c r="G196" t="str">
        <f t="shared" si="161"/>
        <v>Motoristes Pièces source EcoTi Double Melt</v>
      </c>
      <c r="H196" t="str">
        <f t="shared" si="162"/>
        <v>Moteurs</v>
      </c>
      <c r="I196">
        <f t="shared" si="163"/>
        <v>5</v>
      </c>
      <c r="J196">
        <f t="shared" si="164"/>
        <v>1210</v>
      </c>
      <c r="K196">
        <f t="shared" si="165"/>
        <v>50</v>
      </c>
      <c r="L196">
        <f t="shared" si="166"/>
        <v>60.5</v>
      </c>
      <c r="M196">
        <f t="shared" si="167"/>
        <v>2.6249999999999996</v>
      </c>
      <c r="N196">
        <f t="shared" si="168"/>
        <v>2.8874999999999997</v>
      </c>
      <c r="O196" t="str">
        <f t="shared" si="169"/>
        <v>Circ 1</v>
      </c>
      <c r="P196">
        <f>VLOOKUP(O196,pxmassif,D196-2010,FALSE)*M196</f>
        <v>2.6249999999999996</v>
      </c>
      <c r="Q196">
        <f>VLOOKUP(O196,pxcopeau,D196-2010,FALSE)*N196</f>
        <v>1.7324999999999997</v>
      </c>
      <c r="R196" t="str">
        <f t="shared" si="186"/>
        <v>AD PAMIERS</v>
      </c>
      <c r="S196">
        <f t="shared" si="171"/>
        <v>2.375</v>
      </c>
      <c r="T196">
        <f t="shared" si="187"/>
        <v>18</v>
      </c>
      <c r="U196" t="str">
        <f t="shared" si="173"/>
        <v>Circ 1</v>
      </c>
      <c r="V196">
        <f>VLOOKUP(U196,pxmassif,$D196-2010,FALSE)*S196</f>
        <v>2.375</v>
      </c>
      <c r="W196">
        <f>VLOOKUP(U196,pxcopeau,$D196-2010,FALSE)*T196</f>
        <v>10.799999999999999</v>
      </c>
      <c r="X196" t="str">
        <f t="shared" si="188"/>
        <v>Client</v>
      </c>
      <c r="Y196">
        <f t="shared" si="175"/>
        <v>0</v>
      </c>
      <c r="Z196">
        <f t="shared" si="189"/>
        <v>0</v>
      </c>
      <c r="AA196" t="str">
        <f t="shared" si="177"/>
        <v>Circ 1</v>
      </c>
      <c r="AB196">
        <f>VLOOKUP(AA196,pxmassif,$D196-2010,FALSE)*Y196</f>
        <v>0</v>
      </c>
      <c r="AC196">
        <f>VLOOKUP(AA196,pxcopeau,$D196-2010,FALSE)*Z196</f>
        <v>0</v>
      </c>
      <c r="AD196">
        <f t="shared" si="190"/>
        <v>5</v>
      </c>
      <c r="AE196">
        <f t="shared" si="191"/>
        <v>20.887499999999999</v>
      </c>
      <c r="AF196">
        <f t="shared" si="192"/>
        <v>5.5124999999999993</v>
      </c>
      <c r="AG196">
        <f t="shared" si="193"/>
        <v>20.375</v>
      </c>
      <c r="AH196">
        <f t="shared" si="194"/>
        <v>0</v>
      </c>
      <c r="AI196">
        <f t="shared" si="195"/>
        <v>5</v>
      </c>
      <c r="AJ196">
        <f t="shared" si="196"/>
        <v>20.887499999999999</v>
      </c>
      <c r="AK196">
        <f t="shared" si="197"/>
        <v>22.585500000000003</v>
      </c>
      <c r="AL196">
        <f t="shared" si="198"/>
        <v>37.914499999999997</v>
      </c>
      <c r="AM196">
        <f>IFERROR(MIN(AL196,VLOOKUP(CONCATENATE(C196,"-to lingot"),negchutes,D196-2007,FALSE)),0)</f>
        <v>0</v>
      </c>
      <c r="AN196">
        <f t="shared" ref="AN196:AN200" si="205">AL196-AM196</f>
        <v>37.914499999999997</v>
      </c>
      <c r="AO196" t="str">
        <f t="shared" si="199"/>
        <v>Circ 1</v>
      </c>
      <c r="AP196">
        <f>IF(AR196=0,0,IFERROR(VLOOKUP(CONCATENATE($C196,"-to massif"),negchutes,$D196-2007,FALSE),0)*AM196/AR196)</f>
        <v>0</v>
      </c>
      <c r="AQ196">
        <f>IF(AR196=0,0,IFERROR(VLOOKUP(CONCATENATE($C196,"-to copeaux"),negchutes,$D196-2007,FALSE),0)*AM196/AR196)</f>
        <v>0</v>
      </c>
      <c r="AR196">
        <f>IFERROR(VLOOKUP(CONCATENATE($C196,"-to lingot"),negchutes,$D196-2007,FALSE),0)</f>
        <v>0</v>
      </c>
      <c r="AS196">
        <f>IF(AR196=0,0,AP196*VLOOKUP(CONCATENATE($C196,"-ac massif"),negchutes,$D196-2007,FALSE))</f>
        <v>0</v>
      </c>
      <c r="AT196">
        <f>IF(AR196=0,0,AQ196*VLOOKUP(CONCATENATE($C196,"-ac copeaux"),negchutes,$D196-2007,FALSE))</f>
        <v>0</v>
      </c>
      <c r="AU196">
        <f t="shared" si="200"/>
        <v>350.07525000000004</v>
      </c>
      <c r="AV196">
        <f>IFERROR(VLOOKUP(CONCATENATE(C196,"-px lingot"),negchutes,D196-2007,FALSE),0)*AM196</f>
        <v>0</v>
      </c>
      <c r="AW196">
        <f>AN196*VLOOKUP("Marché 1",pxlingot,D196-2010,FALSE)</f>
        <v>947.86249999999995</v>
      </c>
      <c r="AX196">
        <f t="shared" ref="AX196:AX200" si="206">IF((AK196+AL196)=0,0,(AU196+AV196+AW196)/(AK196+AL196))</f>
        <v>21.453516528925622</v>
      </c>
      <c r="AY196" t="str">
        <f t="shared" si="203"/>
        <v>2xVAR</v>
      </c>
      <c r="AZ196">
        <f t="shared" si="204"/>
        <v>5.0714999999999986</v>
      </c>
      <c r="BA196">
        <f>MAX(VLOOKUP(VLOOKUP(C196,descmarche,28,FALSE),pxlingot,D196-2010,FALSE),AX196)</f>
        <v>21.453516528925622</v>
      </c>
      <c r="BB196">
        <f t="shared" ref="BB196:BB200" si="207">BA196*L196</f>
        <v>1297.9377500000001</v>
      </c>
      <c r="BC196" t="str">
        <f t="shared" si="201"/>
        <v>Circ 1</v>
      </c>
    </row>
    <row r="197" spans="1:55" x14ac:dyDescent="0.25">
      <c r="A197" s="5" t="s">
        <v>69</v>
      </c>
      <c r="B197" s="4" t="s">
        <v>98</v>
      </c>
      <c r="C197" t="str">
        <f t="shared" si="185"/>
        <v>EcoTi-09</v>
      </c>
      <c r="D197">
        <v>2021</v>
      </c>
      <c r="E197">
        <v>100</v>
      </c>
      <c r="F197" t="str">
        <f t="shared" si="202"/>
        <v>Motoristes Pièces</v>
      </c>
      <c r="G197" t="str">
        <f t="shared" si="161"/>
        <v>Motoristes Pièces source EcoTi Double Melt</v>
      </c>
      <c r="H197" t="str">
        <f t="shared" si="162"/>
        <v>Moteurs</v>
      </c>
      <c r="I197">
        <f t="shared" si="163"/>
        <v>5</v>
      </c>
      <c r="J197">
        <f t="shared" si="164"/>
        <v>1210</v>
      </c>
      <c r="K197">
        <f t="shared" si="165"/>
        <v>100</v>
      </c>
      <c r="L197">
        <f t="shared" si="166"/>
        <v>121</v>
      </c>
      <c r="M197">
        <f t="shared" si="167"/>
        <v>5.2499999999999991</v>
      </c>
      <c r="N197">
        <f t="shared" si="168"/>
        <v>5.7749999999999995</v>
      </c>
      <c r="O197" t="str">
        <f t="shared" si="169"/>
        <v>Circ 1</v>
      </c>
      <c r="P197">
        <f>VLOOKUP(O197,pxmassif,D197-2010,FALSE)*M197</f>
        <v>5.2499999999999991</v>
      </c>
      <c r="Q197">
        <f>VLOOKUP(O197,pxcopeau,D197-2010,FALSE)*N197</f>
        <v>3.4649999999999994</v>
      </c>
      <c r="R197" t="str">
        <f t="shared" si="186"/>
        <v>AD PAMIERS</v>
      </c>
      <c r="S197">
        <f t="shared" si="171"/>
        <v>4.75</v>
      </c>
      <c r="T197">
        <f t="shared" si="187"/>
        <v>36</v>
      </c>
      <c r="U197" t="str">
        <f t="shared" si="173"/>
        <v>Circ 1</v>
      </c>
      <c r="V197">
        <f>VLOOKUP(U197,pxmassif,$D197-2010,FALSE)*S197</f>
        <v>4.75</v>
      </c>
      <c r="W197">
        <f>VLOOKUP(U197,pxcopeau,$D197-2010,FALSE)*T197</f>
        <v>21.599999999999998</v>
      </c>
      <c r="X197" t="str">
        <f t="shared" si="188"/>
        <v>Client</v>
      </c>
      <c r="Y197">
        <f t="shared" si="175"/>
        <v>0</v>
      </c>
      <c r="Z197">
        <f t="shared" si="189"/>
        <v>0</v>
      </c>
      <c r="AA197" t="str">
        <f t="shared" si="177"/>
        <v>Circ 1</v>
      </c>
      <c r="AB197">
        <f>VLOOKUP(AA197,pxmassif,$D197-2010,FALSE)*Y197</f>
        <v>0</v>
      </c>
      <c r="AC197">
        <f>VLOOKUP(AA197,pxcopeau,$D197-2010,FALSE)*Z197</f>
        <v>0</v>
      </c>
      <c r="AD197">
        <f t="shared" si="190"/>
        <v>10</v>
      </c>
      <c r="AE197">
        <f t="shared" si="191"/>
        <v>41.774999999999999</v>
      </c>
      <c r="AF197">
        <f t="shared" si="192"/>
        <v>11.024999999999999</v>
      </c>
      <c r="AG197">
        <f t="shared" si="193"/>
        <v>40.75</v>
      </c>
      <c r="AH197">
        <f t="shared" si="194"/>
        <v>0</v>
      </c>
      <c r="AI197">
        <f t="shared" si="195"/>
        <v>10</v>
      </c>
      <c r="AJ197">
        <f t="shared" si="196"/>
        <v>41.774999999999999</v>
      </c>
      <c r="AK197">
        <f t="shared" si="197"/>
        <v>45.171000000000006</v>
      </c>
      <c r="AL197">
        <f t="shared" si="198"/>
        <v>75.828999999999994</v>
      </c>
      <c r="AM197">
        <f>IFERROR(MIN(AL197,VLOOKUP(CONCATENATE(C197,"-to lingot"),negchutes,D197-2007,FALSE)),0)</f>
        <v>0</v>
      </c>
      <c r="AN197">
        <f t="shared" si="205"/>
        <v>75.828999999999994</v>
      </c>
      <c r="AO197" t="str">
        <f t="shared" si="199"/>
        <v>Circ 1</v>
      </c>
      <c r="AP197">
        <f>IF(AR197=0,0,IFERROR(VLOOKUP(CONCATENATE($C197,"-to massif"),negchutes,$D197-2007,FALSE),0)*AM197/AR197)</f>
        <v>0</v>
      </c>
      <c r="AQ197">
        <f>IF(AR197=0,0,IFERROR(VLOOKUP(CONCATENATE($C197,"-to copeaux"),negchutes,$D197-2007,FALSE),0)*AM197/AR197)</f>
        <v>0</v>
      </c>
      <c r="AR197">
        <f>IFERROR(VLOOKUP(CONCATENATE($C197,"-to lingot"),negchutes,$D197-2007,FALSE),0)</f>
        <v>0</v>
      </c>
      <c r="AS197">
        <f>IF(AR197=0,0,AP197*VLOOKUP(CONCATENATE($C197,"-ac massif"),negchutes,$D197-2007,FALSE))</f>
        <v>0</v>
      </c>
      <c r="AT197">
        <f>IF(AR197=0,0,AQ197*VLOOKUP(CONCATENATE($C197,"-ac copeaux"),negchutes,$D197-2007,FALSE))</f>
        <v>0</v>
      </c>
      <c r="AU197">
        <f t="shared" si="200"/>
        <v>700.15050000000008</v>
      </c>
      <c r="AV197">
        <f>IFERROR(VLOOKUP(CONCATENATE(C197,"-px lingot"),negchutes,D197-2007,FALSE),0)*AM197</f>
        <v>0</v>
      </c>
      <c r="AW197">
        <f>AN197*VLOOKUP("Marché 1",pxlingot,D197-2010,FALSE)</f>
        <v>1895.7249999999999</v>
      </c>
      <c r="AX197">
        <f t="shared" si="206"/>
        <v>21.453516528925622</v>
      </c>
      <c r="AY197" t="str">
        <f t="shared" si="203"/>
        <v>2xVAR</v>
      </c>
      <c r="AZ197">
        <f t="shared" si="204"/>
        <v>10.142999999999997</v>
      </c>
      <c r="BA197">
        <f>MAX(VLOOKUP(VLOOKUP(C197,descmarche,28,FALSE),pxlingot,D197-2010,FALSE),AX197)</f>
        <v>21.453516528925622</v>
      </c>
      <c r="BB197">
        <f t="shared" si="207"/>
        <v>2595.8755000000001</v>
      </c>
      <c r="BC197" t="str">
        <f t="shared" si="201"/>
        <v>Circ 1</v>
      </c>
    </row>
    <row r="198" spans="1:55" x14ac:dyDescent="0.25">
      <c r="A198" s="5" t="s">
        <v>69</v>
      </c>
      <c r="B198" s="4" t="s">
        <v>98</v>
      </c>
      <c r="C198" t="str">
        <f t="shared" si="185"/>
        <v>EcoTi-09</v>
      </c>
      <c r="D198">
        <v>2022</v>
      </c>
      <c r="E198">
        <v>100</v>
      </c>
      <c r="F198" t="str">
        <f t="shared" si="202"/>
        <v>Motoristes Pièces</v>
      </c>
      <c r="G198" t="str">
        <f t="shared" si="161"/>
        <v>Motoristes Pièces source EcoTi Double Melt</v>
      </c>
      <c r="H198" t="str">
        <f t="shared" si="162"/>
        <v>Moteurs</v>
      </c>
      <c r="I198">
        <f t="shared" si="163"/>
        <v>5</v>
      </c>
      <c r="J198">
        <f t="shared" si="164"/>
        <v>1210</v>
      </c>
      <c r="K198">
        <f t="shared" si="165"/>
        <v>100</v>
      </c>
      <c r="L198">
        <f t="shared" si="166"/>
        <v>121</v>
      </c>
      <c r="M198">
        <f t="shared" si="167"/>
        <v>5.2499999999999991</v>
      </c>
      <c r="N198">
        <f t="shared" si="168"/>
        <v>5.7749999999999995</v>
      </c>
      <c r="O198" t="str">
        <f t="shared" si="169"/>
        <v>Circ 1</v>
      </c>
      <c r="P198">
        <f>VLOOKUP(O198,pxmassif,D198-2010,FALSE)*M198</f>
        <v>5.2499999999999991</v>
      </c>
      <c r="Q198">
        <f>VLOOKUP(O198,pxcopeau,D198-2010,FALSE)*N198</f>
        <v>3.4649999999999994</v>
      </c>
      <c r="R198" t="str">
        <f t="shared" si="186"/>
        <v>AD PAMIERS</v>
      </c>
      <c r="S198">
        <f t="shared" si="171"/>
        <v>4.75</v>
      </c>
      <c r="T198">
        <f t="shared" si="187"/>
        <v>36</v>
      </c>
      <c r="U198" t="str">
        <f t="shared" si="173"/>
        <v>Circ 1</v>
      </c>
      <c r="V198">
        <f>VLOOKUP(U198,pxmassif,$D198-2010,FALSE)*S198</f>
        <v>4.75</v>
      </c>
      <c r="W198">
        <f>VLOOKUP(U198,pxcopeau,$D198-2010,FALSE)*T198</f>
        <v>21.599999999999998</v>
      </c>
      <c r="X198" t="str">
        <f t="shared" si="188"/>
        <v>Client</v>
      </c>
      <c r="Y198">
        <f t="shared" si="175"/>
        <v>0</v>
      </c>
      <c r="Z198">
        <f t="shared" si="189"/>
        <v>0</v>
      </c>
      <c r="AA198" t="str">
        <f t="shared" si="177"/>
        <v>Circ 1</v>
      </c>
      <c r="AB198">
        <f>VLOOKUP(AA198,pxmassif,$D198-2010,FALSE)*Y198</f>
        <v>0</v>
      </c>
      <c r="AC198">
        <f>VLOOKUP(AA198,pxcopeau,$D198-2010,FALSE)*Z198</f>
        <v>0</v>
      </c>
      <c r="AD198">
        <f t="shared" si="190"/>
        <v>10</v>
      </c>
      <c r="AE198">
        <f t="shared" si="191"/>
        <v>41.774999999999999</v>
      </c>
      <c r="AF198">
        <f t="shared" si="192"/>
        <v>11.024999999999999</v>
      </c>
      <c r="AG198">
        <f t="shared" si="193"/>
        <v>40.75</v>
      </c>
      <c r="AH198">
        <f t="shared" si="194"/>
        <v>0</v>
      </c>
      <c r="AI198">
        <f t="shared" si="195"/>
        <v>10</v>
      </c>
      <c r="AJ198">
        <f t="shared" si="196"/>
        <v>41.774999999999999</v>
      </c>
      <c r="AK198">
        <f t="shared" si="197"/>
        <v>45.171000000000006</v>
      </c>
      <c r="AL198">
        <f t="shared" si="198"/>
        <v>75.828999999999994</v>
      </c>
      <c r="AM198">
        <f>IFERROR(MIN(AL198,VLOOKUP(CONCATENATE(C198,"-to lingot"),negchutes,D198-2007,FALSE)),0)</f>
        <v>0</v>
      </c>
      <c r="AN198">
        <f t="shared" si="205"/>
        <v>75.828999999999994</v>
      </c>
      <c r="AO198" t="str">
        <f t="shared" si="199"/>
        <v>Circ 1</v>
      </c>
      <c r="AP198">
        <f>IF(AR198=0,0,IFERROR(VLOOKUP(CONCATENATE($C198,"-to massif"),negchutes,$D198-2007,FALSE),0)*AM198/AR198)</f>
        <v>0</v>
      </c>
      <c r="AQ198">
        <f>IF(AR198=0,0,IFERROR(VLOOKUP(CONCATENATE($C198,"-to copeaux"),negchutes,$D198-2007,FALSE),0)*AM198/AR198)</f>
        <v>0</v>
      </c>
      <c r="AR198">
        <f>IFERROR(VLOOKUP(CONCATENATE($C198,"-to lingot"),negchutes,$D198-2007,FALSE),0)</f>
        <v>0</v>
      </c>
      <c r="AS198">
        <f>IF(AR198=0,0,AP198*VLOOKUP(CONCATENATE($C198,"-ac massif"),negchutes,$D198-2007,FALSE))</f>
        <v>0</v>
      </c>
      <c r="AT198">
        <f>IF(AR198=0,0,AQ198*VLOOKUP(CONCATENATE($C198,"-ac copeaux"),negchutes,$D198-2007,FALSE))</f>
        <v>0</v>
      </c>
      <c r="AU198">
        <f t="shared" si="200"/>
        <v>700.15050000000008</v>
      </c>
      <c r="AV198">
        <f>IFERROR(VLOOKUP(CONCATENATE(C198,"-px lingot"),negchutes,D198-2007,FALSE),0)*AM198</f>
        <v>0</v>
      </c>
      <c r="AW198">
        <f>AN198*VLOOKUP("Marché 1",pxlingot,D198-2010,FALSE)</f>
        <v>1895.7249999999999</v>
      </c>
      <c r="AX198">
        <f t="shared" si="206"/>
        <v>21.453516528925622</v>
      </c>
      <c r="AY198" t="str">
        <f t="shared" si="203"/>
        <v>2xVAR</v>
      </c>
      <c r="AZ198">
        <f t="shared" si="204"/>
        <v>10.142999999999997</v>
      </c>
      <c r="BA198">
        <f>MAX(VLOOKUP(VLOOKUP(C198,descmarche,28,FALSE),pxlingot,D198-2010,FALSE),AX198)</f>
        <v>21.453516528925622</v>
      </c>
      <c r="BB198">
        <f t="shared" si="207"/>
        <v>2595.8755000000001</v>
      </c>
      <c r="BC198" t="str">
        <f t="shared" si="201"/>
        <v>Circ 1</v>
      </c>
    </row>
    <row r="199" spans="1:55" x14ac:dyDescent="0.25">
      <c r="A199" s="5" t="s">
        <v>69</v>
      </c>
      <c r="B199" s="4" t="s">
        <v>98</v>
      </c>
      <c r="C199" t="str">
        <f t="shared" si="185"/>
        <v>EcoTi-09</v>
      </c>
      <c r="D199">
        <v>2023</v>
      </c>
      <c r="E199">
        <v>150</v>
      </c>
      <c r="F199" t="str">
        <f t="shared" si="202"/>
        <v>Motoristes Pièces</v>
      </c>
      <c r="G199" t="str">
        <f t="shared" si="161"/>
        <v>Motoristes Pièces source EcoTi Double Melt</v>
      </c>
      <c r="H199" t="str">
        <f t="shared" si="162"/>
        <v>Moteurs</v>
      </c>
      <c r="I199">
        <f t="shared" si="163"/>
        <v>5</v>
      </c>
      <c r="J199">
        <f t="shared" si="164"/>
        <v>1210</v>
      </c>
      <c r="K199">
        <f t="shared" si="165"/>
        <v>150</v>
      </c>
      <c r="L199">
        <f t="shared" si="166"/>
        <v>181.5</v>
      </c>
      <c r="M199">
        <f t="shared" si="167"/>
        <v>7.8749999999999982</v>
      </c>
      <c r="N199">
        <f t="shared" si="168"/>
        <v>8.6624999999999996</v>
      </c>
      <c r="O199" t="str">
        <f t="shared" si="169"/>
        <v>Circ 1</v>
      </c>
      <c r="P199">
        <f>VLOOKUP(O199,pxmassif,D199-2010,FALSE)*M199</f>
        <v>7.8749999999999982</v>
      </c>
      <c r="Q199">
        <f>VLOOKUP(O199,pxcopeau,D199-2010,FALSE)*N199</f>
        <v>5.1974999999999998</v>
      </c>
      <c r="R199" t="str">
        <f t="shared" si="186"/>
        <v>AD PAMIERS</v>
      </c>
      <c r="S199">
        <f t="shared" si="171"/>
        <v>7.125</v>
      </c>
      <c r="T199">
        <f t="shared" si="187"/>
        <v>54</v>
      </c>
      <c r="U199" t="str">
        <f t="shared" si="173"/>
        <v>Circ 1</v>
      </c>
      <c r="V199">
        <f>VLOOKUP(U199,pxmassif,$D199-2010,FALSE)*S199</f>
        <v>7.125</v>
      </c>
      <c r="W199">
        <f>VLOOKUP(U199,pxcopeau,$D199-2010,FALSE)*T199</f>
        <v>32.4</v>
      </c>
      <c r="X199" t="str">
        <f t="shared" si="188"/>
        <v>Client</v>
      </c>
      <c r="Y199">
        <f t="shared" si="175"/>
        <v>0</v>
      </c>
      <c r="Z199">
        <f t="shared" si="189"/>
        <v>0</v>
      </c>
      <c r="AA199" t="str">
        <f t="shared" si="177"/>
        <v>Circ 1</v>
      </c>
      <c r="AB199">
        <f>VLOOKUP(AA199,pxmassif,$D199-2010,FALSE)*Y199</f>
        <v>0</v>
      </c>
      <c r="AC199">
        <f>VLOOKUP(AA199,pxcopeau,$D199-2010,FALSE)*Z199</f>
        <v>0</v>
      </c>
      <c r="AD199">
        <f t="shared" si="190"/>
        <v>14.999999999999998</v>
      </c>
      <c r="AE199">
        <f t="shared" si="191"/>
        <v>62.662500000000001</v>
      </c>
      <c r="AF199">
        <f t="shared" si="192"/>
        <v>16.537499999999998</v>
      </c>
      <c r="AG199">
        <f t="shared" si="193"/>
        <v>61.125</v>
      </c>
      <c r="AH199">
        <f t="shared" si="194"/>
        <v>0</v>
      </c>
      <c r="AI199">
        <f t="shared" si="195"/>
        <v>14.999999999999998</v>
      </c>
      <c r="AJ199">
        <f t="shared" si="196"/>
        <v>62.662500000000001</v>
      </c>
      <c r="AK199">
        <f t="shared" si="197"/>
        <v>67.756500000000003</v>
      </c>
      <c r="AL199">
        <f t="shared" si="198"/>
        <v>113.74349999999998</v>
      </c>
      <c r="AM199">
        <f>IFERROR(MIN(AL199,VLOOKUP(CONCATENATE(C199,"-to lingot"),negchutes,D199-2007,FALSE)),0)</f>
        <v>0</v>
      </c>
      <c r="AN199">
        <f t="shared" si="205"/>
        <v>113.74349999999998</v>
      </c>
      <c r="AO199" t="str">
        <f t="shared" si="199"/>
        <v>Circ 1</v>
      </c>
      <c r="AP199">
        <f>IF(AR199=0,0,IFERROR(VLOOKUP(CONCATENATE($C199,"-to massif"),negchutes,$D199-2007,FALSE),0)*AM199/AR199)</f>
        <v>0</v>
      </c>
      <c r="AQ199">
        <f>IF(AR199=0,0,IFERROR(VLOOKUP(CONCATENATE($C199,"-to copeaux"),negchutes,$D199-2007,FALSE),0)*AM199/AR199)</f>
        <v>0</v>
      </c>
      <c r="AR199">
        <f>IFERROR(VLOOKUP(CONCATENATE($C199,"-to lingot"),negchutes,$D199-2007,FALSE),0)</f>
        <v>0</v>
      </c>
      <c r="AS199">
        <f>IF(AR199=0,0,AP199*VLOOKUP(CONCATENATE($C199,"-ac massif"),negchutes,$D199-2007,FALSE))</f>
        <v>0</v>
      </c>
      <c r="AT199">
        <f>IF(AR199=0,0,AQ199*VLOOKUP(CONCATENATE($C199,"-ac copeaux"),negchutes,$D199-2007,FALSE))</f>
        <v>0</v>
      </c>
      <c r="AU199">
        <f t="shared" si="200"/>
        <v>1050.2257500000001</v>
      </c>
      <c r="AV199">
        <f>IFERROR(VLOOKUP(CONCATENATE(C199,"-px lingot"),negchutes,D199-2007,FALSE),0)*AM199</f>
        <v>0</v>
      </c>
      <c r="AW199">
        <f>AN199*VLOOKUP("Marché 1",pxlingot,D199-2010,FALSE)</f>
        <v>2843.5874999999996</v>
      </c>
      <c r="AX199">
        <f t="shared" si="206"/>
        <v>21.453516528925618</v>
      </c>
      <c r="AY199" t="str">
        <f t="shared" si="203"/>
        <v>2xVAR</v>
      </c>
      <c r="AZ199">
        <f t="shared" si="204"/>
        <v>15.214499999999997</v>
      </c>
      <c r="BA199">
        <f>MAX(VLOOKUP(VLOOKUP(C199,descmarche,28,FALSE),pxlingot,D199-2010,FALSE),AX199)</f>
        <v>21.453516528925618</v>
      </c>
      <c r="BB199">
        <f t="shared" si="207"/>
        <v>3893.8132499999997</v>
      </c>
      <c r="BC199" t="str">
        <f t="shared" si="201"/>
        <v>Circ 1</v>
      </c>
    </row>
    <row r="200" spans="1:55" x14ac:dyDescent="0.25">
      <c r="A200" s="5" t="s">
        <v>69</v>
      </c>
      <c r="B200" s="4" t="s">
        <v>98</v>
      </c>
      <c r="C200" t="str">
        <f t="shared" si="185"/>
        <v>EcoTi-09</v>
      </c>
      <c r="D200">
        <v>2024</v>
      </c>
      <c r="E200">
        <v>200</v>
      </c>
      <c r="F200" t="str">
        <f t="shared" si="202"/>
        <v>Motoristes Pièces</v>
      </c>
      <c r="G200" t="str">
        <f t="shared" si="161"/>
        <v>Motoristes Pièces source EcoTi Double Melt</v>
      </c>
      <c r="H200" t="str">
        <f t="shared" si="162"/>
        <v>Moteurs</v>
      </c>
      <c r="I200">
        <f t="shared" si="163"/>
        <v>5</v>
      </c>
      <c r="J200">
        <f t="shared" si="164"/>
        <v>1210</v>
      </c>
      <c r="K200">
        <f t="shared" si="165"/>
        <v>200</v>
      </c>
      <c r="L200">
        <f t="shared" si="166"/>
        <v>242</v>
      </c>
      <c r="M200">
        <f t="shared" si="167"/>
        <v>10.499999999999998</v>
      </c>
      <c r="N200">
        <f t="shared" si="168"/>
        <v>11.549999999999999</v>
      </c>
      <c r="O200" t="str">
        <f t="shared" si="169"/>
        <v>Circ 1</v>
      </c>
      <c r="P200">
        <f>VLOOKUP(O200,pxmassif,D200-2010,FALSE)*M200</f>
        <v>10.499999999999998</v>
      </c>
      <c r="Q200">
        <f>VLOOKUP(O200,pxcopeau,D200-2010,FALSE)*N200</f>
        <v>6.9299999999999988</v>
      </c>
      <c r="R200" t="str">
        <f t="shared" si="186"/>
        <v>AD PAMIERS</v>
      </c>
      <c r="S200">
        <f t="shared" si="171"/>
        <v>9.5</v>
      </c>
      <c r="T200">
        <f t="shared" si="187"/>
        <v>72</v>
      </c>
      <c r="U200" t="str">
        <f t="shared" si="173"/>
        <v>Circ 1</v>
      </c>
      <c r="V200">
        <f>VLOOKUP(U200,pxmassif,$D200-2010,FALSE)*S200</f>
        <v>9.5</v>
      </c>
      <c r="W200">
        <f>VLOOKUP(U200,pxcopeau,$D200-2010,FALSE)*T200</f>
        <v>43.199999999999996</v>
      </c>
      <c r="X200" t="str">
        <f t="shared" si="188"/>
        <v>Client</v>
      </c>
      <c r="Y200">
        <f t="shared" si="175"/>
        <v>0</v>
      </c>
      <c r="Z200">
        <f t="shared" si="189"/>
        <v>0</v>
      </c>
      <c r="AA200" t="str">
        <f t="shared" si="177"/>
        <v>Circ 1</v>
      </c>
      <c r="AB200">
        <f>VLOOKUP(AA200,pxmassif,$D200-2010,FALSE)*Y200</f>
        <v>0</v>
      </c>
      <c r="AC200">
        <f>VLOOKUP(AA200,pxcopeau,$D200-2010,FALSE)*Z200</f>
        <v>0</v>
      </c>
      <c r="AD200">
        <f t="shared" si="190"/>
        <v>20</v>
      </c>
      <c r="AE200">
        <f t="shared" si="191"/>
        <v>83.55</v>
      </c>
      <c r="AF200">
        <f t="shared" si="192"/>
        <v>22.049999999999997</v>
      </c>
      <c r="AG200">
        <f t="shared" si="193"/>
        <v>81.5</v>
      </c>
      <c r="AH200">
        <f t="shared" si="194"/>
        <v>0</v>
      </c>
      <c r="AI200">
        <f t="shared" si="195"/>
        <v>20</v>
      </c>
      <c r="AJ200">
        <f t="shared" si="196"/>
        <v>83.55</v>
      </c>
      <c r="AK200">
        <f t="shared" si="197"/>
        <v>90.342000000000013</v>
      </c>
      <c r="AL200">
        <f t="shared" si="198"/>
        <v>151.65799999999999</v>
      </c>
      <c r="AM200">
        <f>IFERROR(MIN(AL200,VLOOKUP(CONCATENATE(C200,"-to lingot"),negchutes,D200-2007,FALSE)),0)</f>
        <v>0</v>
      </c>
      <c r="AN200">
        <f t="shared" si="205"/>
        <v>151.65799999999999</v>
      </c>
      <c r="AO200" t="str">
        <f t="shared" si="199"/>
        <v>Circ 1</v>
      </c>
      <c r="AP200">
        <f>IF(AR200=0,0,IFERROR(VLOOKUP(CONCATENATE($C200,"-to massif"),negchutes,$D200-2007,FALSE),0)*AM200/AR200)</f>
        <v>0</v>
      </c>
      <c r="AQ200">
        <f>IF(AR200=0,0,IFERROR(VLOOKUP(CONCATENATE($C200,"-to copeaux"),negchutes,$D200-2007,FALSE),0)*AM200/AR200)</f>
        <v>0</v>
      </c>
      <c r="AR200">
        <f>IFERROR(VLOOKUP(CONCATENATE($C200,"-to lingot"),negchutes,$D200-2007,FALSE),0)</f>
        <v>0</v>
      </c>
      <c r="AS200">
        <f>IF(AR200=0,0,AP200*VLOOKUP(CONCATENATE($C200,"-ac massif"),negchutes,$D200-2007,FALSE))</f>
        <v>0</v>
      </c>
      <c r="AT200">
        <f>IF(AR200=0,0,AQ200*VLOOKUP(CONCATENATE($C200,"-ac copeaux"),negchutes,$D200-2007,FALSE))</f>
        <v>0</v>
      </c>
      <c r="AU200">
        <f t="shared" si="200"/>
        <v>1400.3010000000002</v>
      </c>
      <c r="AV200">
        <f>IFERROR(VLOOKUP(CONCATENATE(C200,"-px lingot"),negchutes,D200-2007,FALSE),0)*AM200</f>
        <v>0</v>
      </c>
      <c r="AW200">
        <f>AN200*VLOOKUP("Marché 1",pxlingot,D200-2010,FALSE)</f>
        <v>3791.45</v>
      </c>
      <c r="AX200">
        <f t="shared" si="206"/>
        <v>21.453516528925622</v>
      </c>
      <c r="AY200" t="str">
        <f t="shared" si="203"/>
        <v>2xVAR</v>
      </c>
      <c r="AZ200">
        <f t="shared" si="204"/>
        <v>20.285999999999994</v>
      </c>
      <c r="BA200">
        <f>MAX(VLOOKUP(VLOOKUP(C200,descmarche,28,FALSE),pxlingot,D200-2010,FALSE),AX200)</f>
        <v>21.453516528925622</v>
      </c>
      <c r="BB200">
        <f t="shared" si="207"/>
        <v>5191.7510000000002</v>
      </c>
      <c r="BC200" t="str">
        <f t="shared" si="201"/>
        <v>Circ 1</v>
      </c>
    </row>
  </sheetData>
  <autoFilter ref="A2:AJ191"/>
  <mergeCells count="2">
    <mergeCell ref="M1:O1"/>
    <mergeCell ref="S1:U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opLeftCell="A56" workbookViewId="0">
      <selection activeCell="D90" sqref="D90"/>
    </sheetView>
  </sheetViews>
  <sheetFormatPr baseColWidth="10" defaultRowHeight="15" x14ac:dyDescent="0.25"/>
  <cols>
    <col min="1" max="1" width="44.42578125" customWidth="1"/>
    <col min="2" max="10" width="21.85546875" customWidth="1"/>
    <col min="11" max="12" width="12.5703125" customWidth="1"/>
    <col min="13" max="14" width="21.85546875" customWidth="1"/>
    <col min="15" max="15" width="12.5703125" customWidth="1"/>
    <col min="16" max="19" width="45.5703125" bestFit="1" customWidth="1"/>
    <col min="20" max="20" width="50.5703125" bestFit="1" customWidth="1"/>
    <col min="21" max="21" width="24.7109375" bestFit="1" customWidth="1"/>
  </cols>
  <sheetData>
    <row r="1" spans="1:11" x14ac:dyDescent="0.25">
      <c r="A1" s="23" t="s">
        <v>40</v>
      </c>
      <c r="B1" s="24" t="s">
        <v>69</v>
      </c>
    </row>
    <row r="2" spans="1:11" x14ac:dyDescent="0.25">
      <c r="A2" s="23" t="s">
        <v>27</v>
      </c>
      <c r="B2" s="24" t="s">
        <v>175</v>
      </c>
    </row>
    <row r="4" spans="1:11" x14ac:dyDescent="0.25">
      <c r="A4" s="6" t="s">
        <v>206</v>
      </c>
      <c r="B4" s="6" t="s">
        <v>51</v>
      </c>
      <c r="C4" s="7"/>
      <c r="D4" s="7"/>
      <c r="E4" s="7"/>
      <c r="F4" s="7"/>
      <c r="G4" s="7"/>
      <c r="H4" s="7"/>
      <c r="I4" s="7"/>
      <c r="J4" s="7"/>
      <c r="K4" s="8"/>
    </row>
    <row r="5" spans="1:11" x14ac:dyDescent="0.25">
      <c r="A5" s="6" t="s">
        <v>1</v>
      </c>
      <c r="B5" s="9">
        <v>2016</v>
      </c>
      <c r="C5" s="10">
        <v>2017</v>
      </c>
      <c r="D5" s="10">
        <v>2018</v>
      </c>
      <c r="E5" s="10">
        <v>2019</v>
      </c>
      <c r="F5" s="10">
        <v>2020</v>
      </c>
      <c r="G5" s="10">
        <v>2021</v>
      </c>
      <c r="H5" s="10">
        <v>2022</v>
      </c>
      <c r="I5" s="10">
        <v>2023</v>
      </c>
      <c r="J5" s="10">
        <v>2024</v>
      </c>
      <c r="K5" s="11" t="s">
        <v>141</v>
      </c>
    </row>
    <row r="6" spans="1:11" x14ac:dyDescent="0.25">
      <c r="A6" s="9" t="s">
        <v>95</v>
      </c>
      <c r="B6" s="84">
        <v>592.9</v>
      </c>
      <c r="C6" s="85">
        <v>592.9</v>
      </c>
      <c r="D6" s="85">
        <v>968</v>
      </c>
      <c r="E6" s="85">
        <v>1016.4</v>
      </c>
      <c r="F6" s="85">
        <v>1058.75</v>
      </c>
      <c r="G6" s="85">
        <v>1064.8</v>
      </c>
      <c r="H6" s="85">
        <v>1064.8</v>
      </c>
      <c r="I6" s="85">
        <v>1070.8499999999999</v>
      </c>
      <c r="J6" s="85">
        <v>1070.8499999999999</v>
      </c>
      <c r="K6" s="86">
        <v>8500.2500000000018</v>
      </c>
    </row>
    <row r="7" spans="1:11" x14ac:dyDescent="0.25">
      <c r="A7" s="15" t="s">
        <v>96</v>
      </c>
      <c r="B7" s="87">
        <v>12.1</v>
      </c>
      <c r="C7" s="71">
        <v>36.299999999999997</v>
      </c>
      <c r="D7" s="71">
        <v>60.5</v>
      </c>
      <c r="E7" s="71">
        <v>60.5</v>
      </c>
      <c r="F7" s="71">
        <v>60.5</v>
      </c>
      <c r="G7" s="71">
        <v>60.5</v>
      </c>
      <c r="H7" s="71">
        <v>60.5</v>
      </c>
      <c r="I7" s="71">
        <v>60.5</v>
      </c>
      <c r="J7" s="71">
        <v>60.5</v>
      </c>
      <c r="K7" s="88">
        <v>471.9</v>
      </c>
    </row>
    <row r="8" spans="1:11" x14ac:dyDescent="0.25">
      <c r="A8" s="15" t="s">
        <v>94</v>
      </c>
      <c r="B8" s="87">
        <v>57.999999999999993</v>
      </c>
      <c r="C8" s="71">
        <v>115.99999999999999</v>
      </c>
      <c r="D8" s="71">
        <v>463.99999999999994</v>
      </c>
      <c r="E8" s="71">
        <v>696</v>
      </c>
      <c r="F8" s="71">
        <v>754</v>
      </c>
      <c r="G8" s="71">
        <v>754</v>
      </c>
      <c r="H8" s="71">
        <v>754</v>
      </c>
      <c r="I8" s="71">
        <v>754</v>
      </c>
      <c r="J8" s="71">
        <v>754</v>
      </c>
      <c r="K8" s="88">
        <v>5104</v>
      </c>
    </row>
    <row r="9" spans="1:11" x14ac:dyDescent="0.25">
      <c r="A9" s="15" t="s">
        <v>93</v>
      </c>
      <c r="B9" s="87">
        <v>35.274999999999999</v>
      </c>
      <c r="C9" s="71">
        <v>70.55</v>
      </c>
      <c r="D9" s="71">
        <v>141.1</v>
      </c>
      <c r="E9" s="71">
        <v>268.09000000000003</v>
      </c>
      <c r="F9" s="71">
        <v>282.2</v>
      </c>
      <c r="G9" s="71">
        <v>282.2</v>
      </c>
      <c r="H9" s="71">
        <v>282.2</v>
      </c>
      <c r="I9" s="71">
        <v>211.65</v>
      </c>
      <c r="J9" s="71">
        <v>211.65</v>
      </c>
      <c r="K9" s="88">
        <v>1784.9150000000002</v>
      </c>
    </row>
    <row r="10" spans="1:11" x14ac:dyDescent="0.25">
      <c r="A10" s="15" t="s">
        <v>87</v>
      </c>
      <c r="B10" s="87">
        <v>70.55</v>
      </c>
      <c r="C10" s="71">
        <v>211.65</v>
      </c>
      <c r="D10" s="71">
        <v>423.3</v>
      </c>
      <c r="E10" s="71">
        <v>423.3</v>
      </c>
      <c r="F10" s="71">
        <v>423.3</v>
      </c>
      <c r="G10" s="71">
        <v>423.3</v>
      </c>
      <c r="H10" s="71">
        <v>423.3</v>
      </c>
      <c r="I10" s="71">
        <v>423.3</v>
      </c>
      <c r="J10" s="71">
        <v>423.3</v>
      </c>
      <c r="K10" s="88">
        <v>3245.3</v>
      </c>
    </row>
    <row r="11" spans="1:11" x14ac:dyDescent="0.25">
      <c r="A11" s="15" t="s">
        <v>92</v>
      </c>
      <c r="B11" s="87">
        <v>121</v>
      </c>
      <c r="C11" s="71">
        <v>242</v>
      </c>
      <c r="D11" s="71">
        <v>363</v>
      </c>
      <c r="E11" s="71">
        <v>363</v>
      </c>
      <c r="F11" s="71">
        <v>363</v>
      </c>
      <c r="G11" s="71">
        <v>363</v>
      </c>
      <c r="H11" s="71">
        <v>363</v>
      </c>
      <c r="I11" s="71">
        <v>363</v>
      </c>
      <c r="J11" s="71">
        <v>363</v>
      </c>
      <c r="K11" s="88">
        <v>2904</v>
      </c>
    </row>
    <row r="12" spans="1:11" x14ac:dyDescent="0.25">
      <c r="A12" s="15" t="s">
        <v>97</v>
      </c>
      <c r="B12" s="87">
        <v>242</v>
      </c>
      <c r="C12" s="71">
        <v>484</v>
      </c>
      <c r="D12" s="71">
        <v>726</v>
      </c>
      <c r="E12" s="71">
        <v>726</v>
      </c>
      <c r="F12" s="71">
        <v>726</v>
      </c>
      <c r="G12" s="71">
        <v>726</v>
      </c>
      <c r="H12" s="71">
        <v>726</v>
      </c>
      <c r="I12" s="71">
        <v>726</v>
      </c>
      <c r="J12" s="71">
        <v>726</v>
      </c>
      <c r="K12" s="88">
        <v>5808</v>
      </c>
    </row>
    <row r="13" spans="1:11" x14ac:dyDescent="0.25">
      <c r="A13" s="15" t="s">
        <v>134</v>
      </c>
      <c r="B13" s="87">
        <v>30.25</v>
      </c>
      <c r="C13" s="71">
        <v>60.5</v>
      </c>
      <c r="D13" s="71">
        <v>121</v>
      </c>
      <c r="E13" s="71">
        <v>229.9</v>
      </c>
      <c r="F13" s="71">
        <v>302.5</v>
      </c>
      <c r="G13" s="71">
        <v>242</v>
      </c>
      <c r="H13" s="71">
        <v>242</v>
      </c>
      <c r="I13" s="71">
        <v>242</v>
      </c>
      <c r="J13" s="71">
        <v>181.5</v>
      </c>
      <c r="K13" s="88">
        <v>1651.65</v>
      </c>
    </row>
    <row r="14" spans="1:11" x14ac:dyDescent="0.25">
      <c r="A14" s="15" t="s">
        <v>135</v>
      </c>
      <c r="B14" s="87">
        <v>0</v>
      </c>
      <c r="C14" s="71">
        <v>0</v>
      </c>
      <c r="D14" s="71">
        <v>0</v>
      </c>
      <c r="E14" s="71">
        <v>0</v>
      </c>
      <c r="F14" s="71">
        <v>60.5</v>
      </c>
      <c r="G14" s="71">
        <v>121</v>
      </c>
      <c r="H14" s="71">
        <v>121</v>
      </c>
      <c r="I14" s="71">
        <v>181.5</v>
      </c>
      <c r="J14" s="71">
        <v>242</v>
      </c>
      <c r="K14" s="88">
        <v>726</v>
      </c>
    </row>
    <row r="15" spans="1:11" x14ac:dyDescent="0.25">
      <c r="A15" s="19" t="s">
        <v>141</v>
      </c>
      <c r="B15" s="89">
        <v>1162.0749999999998</v>
      </c>
      <c r="C15" s="90">
        <v>1813.8999999999999</v>
      </c>
      <c r="D15" s="90">
        <v>3266.9</v>
      </c>
      <c r="E15" s="90">
        <v>3783.1900000000005</v>
      </c>
      <c r="F15" s="90">
        <v>4030.75</v>
      </c>
      <c r="G15" s="90">
        <v>4036.8</v>
      </c>
      <c r="H15" s="90">
        <v>4036.8</v>
      </c>
      <c r="I15" s="90">
        <v>4032.8</v>
      </c>
      <c r="J15" s="90">
        <v>4032.8</v>
      </c>
      <c r="K15" s="91">
        <v>30196.015000000003</v>
      </c>
    </row>
    <row r="17" spans="1:11" x14ac:dyDescent="0.25">
      <c r="B17" s="65">
        <v>1169</v>
      </c>
      <c r="C17" s="65">
        <v>1812</v>
      </c>
      <c r="D17" s="65">
        <v>3267</v>
      </c>
      <c r="E17" s="65">
        <v>3786</v>
      </c>
      <c r="F17" s="65">
        <v>4034</v>
      </c>
      <c r="G17" s="65">
        <v>4034</v>
      </c>
      <c r="H17" s="65">
        <v>4034</v>
      </c>
      <c r="I17" s="65">
        <v>4034</v>
      </c>
      <c r="J17" s="65">
        <v>4034</v>
      </c>
    </row>
    <row r="20" spans="1:11" x14ac:dyDescent="0.25">
      <c r="A20" s="23" t="s">
        <v>40</v>
      </c>
      <c r="B20" s="24" t="s">
        <v>69</v>
      </c>
    </row>
    <row r="21" spans="1:11" x14ac:dyDescent="0.25">
      <c r="A21" s="23" t="s">
        <v>27</v>
      </c>
      <c r="B21" s="24" t="s">
        <v>175</v>
      </c>
    </row>
    <row r="23" spans="1:11" x14ac:dyDescent="0.25">
      <c r="A23" s="6" t="s">
        <v>207</v>
      </c>
      <c r="B23" s="6" t="s">
        <v>51</v>
      </c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6" t="s">
        <v>1</v>
      </c>
      <c r="B24" s="9">
        <v>2016</v>
      </c>
      <c r="C24" s="10">
        <v>2017</v>
      </c>
      <c r="D24" s="10">
        <v>2018</v>
      </c>
      <c r="E24" s="10">
        <v>2019</v>
      </c>
      <c r="F24" s="10">
        <v>2020</v>
      </c>
      <c r="G24" s="10">
        <v>2021</v>
      </c>
      <c r="H24" s="10">
        <v>2022</v>
      </c>
      <c r="I24" s="10">
        <v>2023</v>
      </c>
      <c r="J24" s="10">
        <v>2024</v>
      </c>
      <c r="K24" s="11" t="s">
        <v>141</v>
      </c>
    </row>
    <row r="25" spans="1:11" x14ac:dyDescent="0.25">
      <c r="A25" s="9" t="s">
        <v>95</v>
      </c>
      <c r="B25" s="76">
        <v>17.845787348836229</v>
      </c>
      <c r="C25" s="77">
        <v>16.659411758517457</v>
      </c>
      <c r="D25" s="77">
        <v>19.338275491089878</v>
      </c>
      <c r="E25" s="77">
        <v>18.116713806449233</v>
      </c>
      <c r="F25" s="77">
        <v>18.073361762455725</v>
      </c>
      <c r="G25" s="77">
        <v>18.10907395790289</v>
      </c>
      <c r="H25" s="77">
        <v>18.10907395790289</v>
      </c>
      <c r="I25" s="77">
        <v>18.144382625717888</v>
      </c>
      <c r="J25" s="77">
        <v>18.144382625717888</v>
      </c>
      <c r="K25" s="78">
        <v>162.5404633345901</v>
      </c>
    </row>
    <row r="26" spans="1:11" x14ac:dyDescent="0.25">
      <c r="A26" s="15" t="s">
        <v>96</v>
      </c>
      <c r="B26" s="79">
        <v>24.187697004132232</v>
      </c>
      <c r="C26" s="70">
        <v>24.187697004132229</v>
      </c>
      <c r="D26" s="70">
        <v>24.187697004132232</v>
      </c>
      <c r="E26" s="70">
        <v>24.187697004132232</v>
      </c>
      <c r="F26" s="70">
        <v>24.187697004132232</v>
      </c>
      <c r="G26" s="70">
        <v>24.187697004132232</v>
      </c>
      <c r="H26" s="70">
        <v>24.187697004132232</v>
      </c>
      <c r="I26" s="70">
        <v>24.187697004132232</v>
      </c>
      <c r="J26" s="70">
        <v>24.187697004132232</v>
      </c>
      <c r="K26" s="80">
        <v>217.68927303719011</v>
      </c>
    </row>
    <row r="27" spans="1:11" x14ac:dyDescent="0.25">
      <c r="A27" s="15" t="s">
        <v>94</v>
      </c>
      <c r="B27" s="79">
        <v>23.410920258620688</v>
      </c>
      <c r="C27" s="70">
        <v>23.410920258620688</v>
      </c>
      <c r="D27" s="70">
        <v>23.410920258620688</v>
      </c>
      <c r="E27" s="70">
        <v>23.410920258620688</v>
      </c>
      <c r="F27" s="70">
        <v>23.410920258620688</v>
      </c>
      <c r="G27" s="70">
        <v>23.410920258620688</v>
      </c>
      <c r="H27" s="70">
        <v>23.410920258620688</v>
      </c>
      <c r="I27" s="70">
        <v>23.410920258620688</v>
      </c>
      <c r="J27" s="70">
        <v>23.410920258620688</v>
      </c>
      <c r="K27" s="80">
        <v>210.69828232758616</v>
      </c>
    </row>
    <row r="28" spans="1:11" x14ac:dyDescent="0.25">
      <c r="A28" s="15" t="s">
        <v>93</v>
      </c>
      <c r="B28" s="79">
        <v>24.247305102764003</v>
      </c>
      <c r="C28" s="70">
        <v>24.247305102764003</v>
      </c>
      <c r="D28" s="70">
        <v>24.247305102764003</v>
      </c>
      <c r="E28" s="70">
        <v>24.247305102763995</v>
      </c>
      <c r="F28" s="70">
        <v>24.247305102764003</v>
      </c>
      <c r="G28" s="70">
        <v>24.247305102764003</v>
      </c>
      <c r="H28" s="70">
        <v>24.247305102764003</v>
      </c>
      <c r="I28" s="70">
        <v>24.247305102763999</v>
      </c>
      <c r="J28" s="70">
        <v>24.247305102763999</v>
      </c>
      <c r="K28" s="80">
        <v>218.22574592487598</v>
      </c>
    </row>
    <row r="29" spans="1:11" x14ac:dyDescent="0.25">
      <c r="A29" s="15" t="s">
        <v>87</v>
      </c>
      <c r="B29" s="79">
        <v>24.247305102764003</v>
      </c>
      <c r="C29" s="70">
        <v>24.247305102763999</v>
      </c>
      <c r="D29" s="70">
        <v>24.247305102763999</v>
      </c>
      <c r="E29" s="70">
        <v>24.247305102763999</v>
      </c>
      <c r="F29" s="70">
        <v>24.247305102763999</v>
      </c>
      <c r="G29" s="70">
        <v>24.247305102763999</v>
      </c>
      <c r="H29" s="70">
        <v>24.247305102763999</v>
      </c>
      <c r="I29" s="70">
        <v>24.247305102763999</v>
      </c>
      <c r="J29" s="70">
        <v>24.247305102763999</v>
      </c>
      <c r="K29" s="80">
        <v>218.22574592487598</v>
      </c>
    </row>
    <row r="30" spans="1:11" x14ac:dyDescent="0.25">
      <c r="A30" s="15" t="s">
        <v>92</v>
      </c>
      <c r="B30" s="79">
        <v>18.599382458677685</v>
      </c>
      <c r="C30" s="70">
        <v>18.599382458677685</v>
      </c>
      <c r="D30" s="70">
        <v>18.599382458677685</v>
      </c>
      <c r="E30" s="70">
        <v>18.599382458677685</v>
      </c>
      <c r="F30" s="70">
        <v>18.599382458677685</v>
      </c>
      <c r="G30" s="70">
        <v>18.599382458677685</v>
      </c>
      <c r="H30" s="70">
        <v>18.599382458677685</v>
      </c>
      <c r="I30" s="70">
        <v>18.599382458677685</v>
      </c>
      <c r="J30" s="70">
        <v>18.599382458677685</v>
      </c>
      <c r="K30" s="80">
        <v>167.39444212809917</v>
      </c>
    </row>
    <row r="31" spans="1:11" x14ac:dyDescent="0.25">
      <c r="A31" s="15" t="s">
        <v>97</v>
      </c>
      <c r="B31" s="79">
        <v>17.925454028925621</v>
      </c>
      <c r="C31" s="70">
        <v>17.925454028925621</v>
      </c>
      <c r="D31" s="70">
        <v>17.925454028925618</v>
      </c>
      <c r="E31" s="70">
        <v>17.925454028925618</v>
      </c>
      <c r="F31" s="70">
        <v>17.925454028925618</v>
      </c>
      <c r="G31" s="70">
        <v>17.925454028925618</v>
      </c>
      <c r="H31" s="70">
        <v>17.925454028925618</v>
      </c>
      <c r="I31" s="70">
        <v>17.925454028925618</v>
      </c>
      <c r="J31" s="70">
        <v>17.925454028925618</v>
      </c>
      <c r="K31" s="80">
        <v>161.32908626033057</v>
      </c>
    </row>
    <row r="32" spans="1:11" x14ac:dyDescent="0.25">
      <c r="A32" s="15" t="s">
        <v>134</v>
      </c>
      <c r="B32" s="79">
        <v>21.382056508264462</v>
      </c>
      <c r="C32" s="70">
        <v>21.382056508264462</v>
      </c>
      <c r="D32" s="70">
        <v>21.382056508264462</v>
      </c>
      <c r="E32" s="70">
        <v>21.382056508264462</v>
      </c>
      <c r="F32" s="70">
        <v>21.382056508264462</v>
      </c>
      <c r="G32" s="70">
        <v>21.382056508264462</v>
      </c>
      <c r="H32" s="70">
        <v>21.382056508264462</v>
      </c>
      <c r="I32" s="70">
        <v>21.382056508264462</v>
      </c>
      <c r="J32" s="70">
        <v>21.382056508264462</v>
      </c>
      <c r="K32" s="80">
        <v>192.43850857438019</v>
      </c>
    </row>
    <row r="33" spans="1:11" x14ac:dyDescent="0.25">
      <c r="A33" s="15" t="s">
        <v>135</v>
      </c>
      <c r="B33" s="79">
        <v>0</v>
      </c>
      <c r="C33" s="70">
        <v>0</v>
      </c>
      <c r="D33" s="70">
        <v>0</v>
      </c>
      <c r="E33" s="70">
        <v>0</v>
      </c>
      <c r="F33" s="70">
        <v>21.453516528925622</v>
      </c>
      <c r="G33" s="70">
        <v>21.453516528925622</v>
      </c>
      <c r="H33" s="70">
        <v>21.453516528925622</v>
      </c>
      <c r="I33" s="70">
        <v>21.453516528925618</v>
      </c>
      <c r="J33" s="70">
        <v>21.453516528925622</v>
      </c>
      <c r="K33" s="80">
        <v>107.26758264462811</v>
      </c>
    </row>
    <row r="34" spans="1:11" x14ac:dyDescent="0.25">
      <c r="A34" s="19" t="s">
        <v>141</v>
      </c>
      <c r="B34" s="81">
        <v>171.84590781298493</v>
      </c>
      <c r="C34" s="82">
        <v>170.65953222266617</v>
      </c>
      <c r="D34" s="82">
        <v>173.33839595523858</v>
      </c>
      <c r="E34" s="82">
        <v>172.11683427059793</v>
      </c>
      <c r="F34" s="82">
        <v>193.52699875553006</v>
      </c>
      <c r="G34" s="82">
        <v>193.56271095097725</v>
      </c>
      <c r="H34" s="82">
        <v>193.56271095097725</v>
      </c>
      <c r="I34" s="82">
        <v>193.59801961879219</v>
      </c>
      <c r="J34" s="82">
        <v>193.59801961879222</v>
      </c>
      <c r="K34" s="83">
        <v>1655.8091301565564</v>
      </c>
    </row>
    <row r="40" spans="1:11" x14ac:dyDescent="0.25">
      <c r="A40" s="23" t="s">
        <v>40</v>
      </c>
      <c r="B40" s="24" t="s">
        <v>69</v>
      </c>
    </row>
    <row r="41" spans="1:11" x14ac:dyDescent="0.25">
      <c r="A41" s="23" t="s">
        <v>27</v>
      </c>
      <c r="B41" s="24" t="s">
        <v>175</v>
      </c>
    </row>
    <row r="43" spans="1:11" x14ac:dyDescent="0.25">
      <c r="A43" s="6" t="s">
        <v>208</v>
      </c>
      <c r="B43" s="6" t="s">
        <v>51</v>
      </c>
      <c r="C43" s="7"/>
      <c r="D43" s="7"/>
      <c r="E43" s="7"/>
      <c r="F43" s="7"/>
      <c r="G43" s="7"/>
      <c r="H43" s="7"/>
      <c r="I43" s="7"/>
      <c r="J43" s="7"/>
      <c r="K43" s="8"/>
    </row>
    <row r="44" spans="1:11" x14ac:dyDescent="0.25">
      <c r="A44" s="6" t="s">
        <v>1</v>
      </c>
      <c r="B44" s="9">
        <v>2016</v>
      </c>
      <c r="C44" s="10">
        <v>2017</v>
      </c>
      <c r="D44" s="10">
        <v>2018</v>
      </c>
      <c r="E44" s="10">
        <v>2019</v>
      </c>
      <c r="F44" s="10">
        <v>2020</v>
      </c>
      <c r="G44" s="10">
        <v>2021</v>
      </c>
      <c r="H44" s="10">
        <v>2022</v>
      </c>
      <c r="I44" s="10">
        <v>2023</v>
      </c>
      <c r="J44" s="10">
        <v>2024</v>
      </c>
      <c r="K44" s="11" t="s">
        <v>141</v>
      </c>
    </row>
    <row r="45" spans="1:11" x14ac:dyDescent="0.25">
      <c r="A45" s="9" t="s">
        <v>95</v>
      </c>
      <c r="B45" s="76">
        <v>17.845787348836229</v>
      </c>
      <c r="C45" s="77">
        <v>17.5</v>
      </c>
      <c r="D45" s="77">
        <v>19.338275491089878</v>
      </c>
      <c r="E45" s="77">
        <v>18.116713806449233</v>
      </c>
      <c r="F45" s="77">
        <v>18.073361762455725</v>
      </c>
      <c r="G45" s="77">
        <v>18.10907395790289</v>
      </c>
      <c r="H45" s="77">
        <v>18.10907395790289</v>
      </c>
      <c r="I45" s="77">
        <v>18.144382625717888</v>
      </c>
      <c r="J45" s="77">
        <v>18.144382625717888</v>
      </c>
      <c r="K45" s="78">
        <v>163.38105157607265</v>
      </c>
    </row>
    <row r="46" spans="1:11" x14ac:dyDescent="0.25">
      <c r="A46" s="15" t="s">
        <v>96</v>
      </c>
      <c r="B46" s="79">
        <v>24.187697004132232</v>
      </c>
      <c r="C46" s="70">
        <v>24.187697004132229</v>
      </c>
      <c r="D46" s="70">
        <v>24.187697004132232</v>
      </c>
      <c r="E46" s="70">
        <v>24.187697004132232</v>
      </c>
      <c r="F46" s="70">
        <v>24.187697004132232</v>
      </c>
      <c r="G46" s="70">
        <v>24.187697004132232</v>
      </c>
      <c r="H46" s="70">
        <v>24.187697004132232</v>
      </c>
      <c r="I46" s="70">
        <v>24.187697004132232</v>
      </c>
      <c r="J46" s="70">
        <v>24.187697004132232</v>
      </c>
      <c r="K46" s="80">
        <v>217.68927303719011</v>
      </c>
    </row>
    <row r="47" spans="1:11" x14ac:dyDescent="0.25">
      <c r="A47" s="15" t="s">
        <v>94</v>
      </c>
      <c r="B47" s="79">
        <v>23.410920258620688</v>
      </c>
      <c r="C47" s="70">
        <v>23.410920258620688</v>
      </c>
      <c r="D47" s="70">
        <v>23.410920258620688</v>
      </c>
      <c r="E47" s="70">
        <v>23.410920258620688</v>
      </c>
      <c r="F47" s="70">
        <v>23.410920258620688</v>
      </c>
      <c r="G47" s="70">
        <v>23.410920258620688</v>
      </c>
      <c r="H47" s="70">
        <v>23.410920258620688</v>
      </c>
      <c r="I47" s="70">
        <v>23.410920258620688</v>
      </c>
      <c r="J47" s="70">
        <v>23.410920258620688</v>
      </c>
      <c r="K47" s="80">
        <v>210.69828232758616</v>
      </c>
    </row>
    <row r="48" spans="1:11" x14ac:dyDescent="0.25">
      <c r="A48" s="15" t="s">
        <v>93</v>
      </c>
      <c r="B48" s="79">
        <v>24.247305102764003</v>
      </c>
      <c r="C48" s="70">
        <v>24.247305102764003</v>
      </c>
      <c r="D48" s="70">
        <v>24.247305102764003</v>
      </c>
      <c r="E48" s="70">
        <v>24.247305102763995</v>
      </c>
      <c r="F48" s="70">
        <v>24.247305102764003</v>
      </c>
      <c r="G48" s="70">
        <v>24.247305102764003</v>
      </c>
      <c r="H48" s="70">
        <v>24.247305102764003</v>
      </c>
      <c r="I48" s="70">
        <v>24.247305102763999</v>
      </c>
      <c r="J48" s="70">
        <v>24.247305102763999</v>
      </c>
      <c r="K48" s="80">
        <v>218.22574592487598</v>
      </c>
    </row>
    <row r="49" spans="1:11" x14ac:dyDescent="0.25">
      <c r="A49" s="15" t="s">
        <v>87</v>
      </c>
      <c r="B49" s="79">
        <v>24.247305102764003</v>
      </c>
      <c r="C49" s="70">
        <v>24.247305102763999</v>
      </c>
      <c r="D49" s="70">
        <v>24.247305102763999</v>
      </c>
      <c r="E49" s="70">
        <v>24.247305102763999</v>
      </c>
      <c r="F49" s="70">
        <v>24.247305102763999</v>
      </c>
      <c r="G49" s="70">
        <v>24.247305102763999</v>
      </c>
      <c r="H49" s="70">
        <v>24.247305102763999</v>
      </c>
      <c r="I49" s="70">
        <v>24.247305102763999</v>
      </c>
      <c r="J49" s="70">
        <v>24.247305102763999</v>
      </c>
      <c r="K49" s="80">
        <v>218.22574592487598</v>
      </c>
    </row>
    <row r="50" spans="1:11" x14ac:dyDescent="0.25">
      <c r="A50" s="15" t="s">
        <v>92</v>
      </c>
      <c r="B50" s="79">
        <v>18.599382458677685</v>
      </c>
      <c r="C50" s="70">
        <v>18.599382458677685</v>
      </c>
      <c r="D50" s="70">
        <v>18.599382458677685</v>
      </c>
      <c r="E50" s="70">
        <v>18.599382458677685</v>
      </c>
      <c r="F50" s="70">
        <v>18.599382458677685</v>
      </c>
      <c r="G50" s="70">
        <v>18.599382458677685</v>
      </c>
      <c r="H50" s="70">
        <v>18.599382458677685</v>
      </c>
      <c r="I50" s="70">
        <v>18.599382458677685</v>
      </c>
      <c r="J50" s="70">
        <v>18.599382458677685</v>
      </c>
      <c r="K50" s="80">
        <v>167.39444212809917</v>
      </c>
    </row>
    <row r="51" spans="1:11" x14ac:dyDescent="0.25">
      <c r="A51" s="15" t="s">
        <v>97</v>
      </c>
      <c r="B51" s="79">
        <v>17.925454028925621</v>
      </c>
      <c r="C51" s="70">
        <v>17.925454028925621</v>
      </c>
      <c r="D51" s="70">
        <v>17.925454028925618</v>
      </c>
      <c r="E51" s="70">
        <v>17.925454028925618</v>
      </c>
      <c r="F51" s="70">
        <v>17.925454028925618</v>
      </c>
      <c r="G51" s="70">
        <v>17.925454028925618</v>
      </c>
      <c r="H51" s="70">
        <v>17.925454028925618</v>
      </c>
      <c r="I51" s="70">
        <v>17.925454028925618</v>
      </c>
      <c r="J51" s="70">
        <v>17.925454028925618</v>
      </c>
      <c r="K51" s="80">
        <v>161.32908626033057</v>
      </c>
    </row>
    <row r="52" spans="1:11" x14ac:dyDescent="0.25">
      <c r="A52" s="15" t="s">
        <v>134</v>
      </c>
      <c r="B52" s="79">
        <v>21.382056508264462</v>
      </c>
      <c r="C52" s="70">
        <v>21.382056508264462</v>
      </c>
      <c r="D52" s="70">
        <v>21.382056508264462</v>
      </c>
      <c r="E52" s="70">
        <v>21.382056508264462</v>
      </c>
      <c r="F52" s="70">
        <v>21.382056508264462</v>
      </c>
      <c r="G52" s="70">
        <v>21.382056508264462</v>
      </c>
      <c r="H52" s="70">
        <v>21.382056508264462</v>
      </c>
      <c r="I52" s="70">
        <v>21.382056508264462</v>
      </c>
      <c r="J52" s="70">
        <v>21.382056508264462</v>
      </c>
      <c r="K52" s="80">
        <v>192.43850857438019</v>
      </c>
    </row>
    <row r="53" spans="1:11" x14ac:dyDescent="0.25">
      <c r="A53" s="15" t="s">
        <v>135</v>
      </c>
      <c r="B53" s="79">
        <v>15.5</v>
      </c>
      <c r="C53" s="70">
        <v>15.5</v>
      </c>
      <c r="D53" s="70">
        <v>15.5</v>
      </c>
      <c r="E53" s="70">
        <v>15.5</v>
      </c>
      <c r="F53" s="70">
        <v>21.453516528925622</v>
      </c>
      <c r="G53" s="70">
        <v>21.453516528925622</v>
      </c>
      <c r="H53" s="70">
        <v>21.453516528925622</v>
      </c>
      <c r="I53" s="70">
        <v>21.453516528925618</v>
      </c>
      <c r="J53" s="70">
        <v>21.453516528925622</v>
      </c>
      <c r="K53" s="80">
        <v>169.26758264462811</v>
      </c>
    </row>
    <row r="54" spans="1:11" x14ac:dyDescent="0.25">
      <c r="A54" s="19" t="s">
        <v>141</v>
      </c>
      <c r="B54" s="81">
        <v>187.34590781298493</v>
      </c>
      <c r="C54" s="82">
        <v>187.00012046414872</v>
      </c>
      <c r="D54" s="82">
        <v>188.83839595523858</v>
      </c>
      <c r="E54" s="82">
        <v>187.61683427059793</v>
      </c>
      <c r="F54" s="82">
        <v>193.52699875553006</v>
      </c>
      <c r="G54" s="82">
        <v>193.56271095097725</v>
      </c>
      <c r="H54" s="82">
        <v>193.56271095097725</v>
      </c>
      <c r="I54" s="82">
        <v>193.59801961879219</v>
      </c>
      <c r="J54" s="82">
        <v>193.59801961879222</v>
      </c>
      <c r="K54" s="83">
        <v>1718.6497183980391</v>
      </c>
    </row>
    <row r="60" spans="1:11" x14ac:dyDescent="0.25">
      <c r="A60" s="23" t="s">
        <v>40</v>
      </c>
      <c r="B60" s="24" t="s">
        <v>69</v>
      </c>
    </row>
    <row r="61" spans="1:11" x14ac:dyDescent="0.25">
      <c r="A61" s="23" t="s">
        <v>27</v>
      </c>
      <c r="B61" s="24" t="s">
        <v>175</v>
      </c>
    </row>
    <row r="63" spans="1:11" x14ac:dyDescent="0.25">
      <c r="A63" s="6" t="s">
        <v>232</v>
      </c>
      <c r="B63" s="6" t="s">
        <v>51</v>
      </c>
      <c r="C63" s="7"/>
      <c r="D63" s="7"/>
      <c r="E63" s="7"/>
      <c r="F63" s="7"/>
      <c r="G63" s="7"/>
      <c r="H63" s="7"/>
      <c r="I63" s="7"/>
      <c r="J63" s="7"/>
      <c r="K63" s="8"/>
    </row>
    <row r="64" spans="1:11" x14ac:dyDescent="0.25">
      <c r="A64" s="6" t="s">
        <v>1</v>
      </c>
      <c r="B64" s="9">
        <v>2016</v>
      </c>
      <c r="C64" s="10">
        <v>2017</v>
      </c>
      <c r="D64" s="10">
        <v>2018</v>
      </c>
      <c r="E64" s="10">
        <v>2019</v>
      </c>
      <c r="F64" s="10">
        <v>2020</v>
      </c>
      <c r="G64" s="10">
        <v>2021</v>
      </c>
      <c r="H64" s="10">
        <v>2022</v>
      </c>
      <c r="I64" s="10">
        <v>2023</v>
      </c>
      <c r="J64" s="10">
        <v>2024</v>
      </c>
      <c r="K64" s="11" t="s">
        <v>141</v>
      </c>
    </row>
    <row r="65" spans="1:11" x14ac:dyDescent="0.25">
      <c r="A65" s="9" t="s">
        <v>95</v>
      </c>
      <c r="B65" s="58">
        <v>10580.767319125</v>
      </c>
      <c r="C65" s="59">
        <v>10375.75</v>
      </c>
      <c r="D65" s="59">
        <v>18719.450675375003</v>
      </c>
      <c r="E65" s="59">
        <v>18413.827912875</v>
      </c>
      <c r="F65" s="59">
        <v>19135.171765999999</v>
      </c>
      <c r="G65" s="59">
        <v>19282.541950374998</v>
      </c>
      <c r="H65" s="59">
        <v>19282.541950374998</v>
      </c>
      <c r="I65" s="59">
        <v>19429.91213475</v>
      </c>
      <c r="J65" s="59">
        <v>19429.91213475</v>
      </c>
      <c r="K65" s="60">
        <v>154649.87584362499</v>
      </c>
    </row>
    <row r="66" spans="1:11" x14ac:dyDescent="0.25">
      <c r="A66" s="15" t="s">
        <v>96</v>
      </c>
      <c r="B66" s="61">
        <v>292.67113375000002</v>
      </c>
      <c r="C66" s="62">
        <v>878.01340124999979</v>
      </c>
      <c r="D66" s="62">
        <v>1463.3556687499999</v>
      </c>
      <c r="E66" s="62">
        <v>1463.3556687499999</v>
      </c>
      <c r="F66" s="62">
        <v>1463.3556687499999</v>
      </c>
      <c r="G66" s="62">
        <v>1463.3556687499999</v>
      </c>
      <c r="H66" s="62">
        <v>1463.3556687499999</v>
      </c>
      <c r="I66" s="62">
        <v>1463.3556687499999</v>
      </c>
      <c r="J66" s="62">
        <v>1463.3556687499999</v>
      </c>
      <c r="K66" s="63">
        <v>11414.174216250001</v>
      </c>
    </row>
    <row r="67" spans="1:11" x14ac:dyDescent="0.25">
      <c r="A67" s="15" t="s">
        <v>94</v>
      </c>
      <c r="B67" s="61">
        <v>1357.8333749999997</v>
      </c>
      <c r="C67" s="62">
        <v>2715.6667499999994</v>
      </c>
      <c r="D67" s="62">
        <v>10862.666999999998</v>
      </c>
      <c r="E67" s="62">
        <v>16294.000499999998</v>
      </c>
      <c r="F67" s="62">
        <v>17651.833875</v>
      </c>
      <c r="G67" s="62">
        <v>17651.833875</v>
      </c>
      <c r="H67" s="62">
        <v>17651.833875</v>
      </c>
      <c r="I67" s="62">
        <v>17651.833875</v>
      </c>
      <c r="J67" s="62">
        <v>17651.833875</v>
      </c>
      <c r="K67" s="63">
        <v>119489.33699999998</v>
      </c>
    </row>
    <row r="68" spans="1:11" x14ac:dyDescent="0.25">
      <c r="A68" s="15" t="s">
        <v>93</v>
      </c>
      <c r="B68" s="61">
        <v>855.32368750000012</v>
      </c>
      <c r="C68" s="62">
        <v>1710.6473750000002</v>
      </c>
      <c r="D68" s="62">
        <v>3421.2947500000005</v>
      </c>
      <c r="E68" s="62">
        <v>6500.4600250000003</v>
      </c>
      <c r="F68" s="62">
        <v>6842.589500000001</v>
      </c>
      <c r="G68" s="62">
        <v>6842.589500000001</v>
      </c>
      <c r="H68" s="62">
        <v>6842.589500000001</v>
      </c>
      <c r="I68" s="62">
        <v>5131.9421250000005</v>
      </c>
      <c r="J68" s="62">
        <v>5131.9421250000005</v>
      </c>
      <c r="K68" s="63">
        <v>43279.37858750001</v>
      </c>
    </row>
    <row r="69" spans="1:11" x14ac:dyDescent="0.25">
      <c r="A69" s="15" t="s">
        <v>87</v>
      </c>
      <c r="B69" s="61">
        <v>1710.6473750000002</v>
      </c>
      <c r="C69" s="62">
        <v>5131.9421250000005</v>
      </c>
      <c r="D69" s="62">
        <v>10263.884250000001</v>
      </c>
      <c r="E69" s="62">
        <v>10263.884250000001</v>
      </c>
      <c r="F69" s="62">
        <v>10263.884250000001</v>
      </c>
      <c r="G69" s="62">
        <v>10263.884250000001</v>
      </c>
      <c r="H69" s="62">
        <v>10263.884250000001</v>
      </c>
      <c r="I69" s="62">
        <v>10263.884250000001</v>
      </c>
      <c r="J69" s="62">
        <v>10263.884250000001</v>
      </c>
      <c r="K69" s="63">
        <v>78689.779250000007</v>
      </c>
    </row>
    <row r="70" spans="1:11" x14ac:dyDescent="0.25">
      <c r="A70" s="15" t="s">
        <v>92</v>
      </c>
      <c r="B70" s="61">
        <v>2250.5252774999999</v>
      </c>
      <c r="C70" s="62">
        <v>4501.0505549999998</v>
      </c>
      <c r="D70" s="62">
        <v>6751.5758324999997</v>
      </c>
      <c r="E70" s="62">
        <v>6751.5758324999997</v>
      </c>
      <c r="F70" s="62">
        <v>6751.5758324999997</v>
      </c>
      <c r="G70" s="62">
        <v>6751.5758324999997</v>
      </c>
      <c r="H70" s="62">
        <v>6751.5758324999997</v>
      </c>
      <c r="I70" s="62">
        <v>6751.5758324999997</v>
      </c>
      <c r="J70" s="62">
        <v>6751.5758324999997</v>
      </c>
      <c r="K70" s="63">
        <v>54012.606659999998</v>
      </c>
    </row>
    <row r="71" spans="1:11" x14ac:dyDescent="0.25">
      <c r="A71" s="15" t="s">
        <v>97</v>
      </c>
      <c r="B71" s="61">
        <v>4337.9598750000005</v>
      </c>
      <c r="C71" s="62">
        <v>8675.9197500000009</v>
      </c>
      <c r="D71" s="62">
        <v>13013.879624999998</v>
      </c>
      <c r="E71" s="62">
        <v>13013.879624999998</v>
      </c>
      <c r="F71" s="62">
        <v>13013.879624999998</v>
      </c>
      <c r="G71" s="62">
        <v>13013.879624999998</v>
      </c>
      <c r="H71" s="62">
        <v>13013.879624999998</v>
      </c>
      <c r="I71" s="62">
        <v>13013.879624999998</v>
      </c>
      <c r="J71" s="62">
        <v>13013.879624999998</v>
      </c>
      <c r="K71" s="63">
        <v>104111.037</v>
      </c>
    </row>
    <row r="72" spans="1:11" x14ac:dyDescent="0.25">
      <c r="A72" s="15" t="s">
        <v>134</v>
      </c>
      <c r="B72" s="61">
        <v>646.80720937499996</v>
      </c>
      <c r="C72" s="62">
        <v>1293.6144187499999</v>
      </c>
      <c r="D72" s="62">
        <v>2587.2288374999998</v>
      </c>
      <c r="E72" s="62">
        <v>4915.7347912499999</v>
      </c>
      <c r="F72" s="62">
        <v>6468.07209375</v>
      </c>
      <c r="G72" s="62">
        <v>5174.4576749999997</v>
      </c>
      <c r="H72" s="62">
        <v>5174.4576749999997</v>
      </c>
      <c r="I72" s="62">
        <v>5174.4576749999997</v>
      </c>
      <c r="J72" s="62">
        <v>3880.8432562499997</v>
      </c>
      <c r="K72" s="63">
        <v>35315.673631874997</v>
      </c>
    </row>
    <row r="73" spans="1:11" x14ac:dyDescent="0.25">
      <c r="A73" s="15" t="s">
        <v>135</v>
      </c>
      <c r="B73" s="61">
        <v>0</v>
      </c>
      <c r="C73" s="62">
        <v>0</v>
      </c>
      <c r="D73" s="62">
        <v>0</v>
      </c>
      <c r="E73" s="62">
        <v>0</v>
      </c>
      <c r="F73" s="62">
        <v>1297.9377500000001</v>
      </c>
      <c r="G73" s="62">
        <v>2595.8755000000001</v>
      </c>
      <c r="H73" s="62">
        <v>2595.8755000000001</v>
      </c>
      <c r="I73" s="62">
        <v>3893.8132499999997</v>
      </c>
      <c r="J73" s="62">
        <v>5191.7510000000002</v>
      </c>
      <c r="K73" s="63">
        <v>15575.253000000001</v>
      </c>
    </row>
    <row r="74" spans="1:11" x14ac:dyDescent="0.25">
      <c r="A74" s="19" t="s">
        <v>141</v>
      </c>
      <c r="B74" s="66">
        <v>22032.535252250003</v>
      </c>
      <c r="C74" s="67">
        <v>35282.604375000003</v>
      </c>
      <c r="D74" s="67">
        <v>67083.336639125002</v>
      </c>
      <c r="E74" s="67">
        <v>77616.71860537499</v>
      </c>
      <c r="F74" s="67">
        <v>82888.300361000001</v>
      </c>
      <c r="G74" s="67">
        <v>83039.993876624983</v>
      </c>
      <c r="H74" s="67">
        <v>83039.993876624983</v>
      </c>
      <c r="I74" s="67">
        <v>82774.654435999997</v>
      </c>
      <c r="J74" s="67">
        <v>82778.977767249991</v>
      </c>
      <c r="K74" s="68">
        <v>616537.11518924998</v>
      </c>
    </row>
    <row r="79" spans="1:11" x14ac:dyDescent="0.25">
      <c r="A79" s="23" t="s">
        <v>40</v>
      </c>
      <c r="B79" s="24" t="s">
        <v>69</v>
      </c>
    </row>
    <row r="80" spans="1:11" x14ac:dyDescent="0.25">
      <c r="A80" s="23" t="s">
        <v>27</v>
      </c>
      <c r="B80" s="24" t="s">
        <v>175</v>
      </c>
    </row>
    <row r="81" spans="1:11" x14ac:dyDescent="0.25">
      <c r="A81" s="23" t="s">
        <v>1</v>
      </c>
      <c r="B81" s="24" t="s">
        <v>66</v>
      </c>
    </row>
    <row r="83" spans="1:11" x14ac:dyDescent="0.25">
      <c r="A83" s="9"/>
      <c r="B83" s="6" t="s">
        <v>51</v>
      </c>
      <c r="C83" s="7"/>
      <c r="D83" s="7"/>
      <c r="E83" s="7"/>
      <c r="F83" s="7"/>
      <c r="G83" s="7"/>
      <c r="H83" s="7"/>
      <c r="I83" s="7"/>
      <c r="J83" s="7"/>
      <c r="K83" s="8"/>
    </row>
    <row r="84" spans="1:11" x14ac:dyDescent="0.25">
      <c r="A84" s="6" t="s">
        <v>107</v>
      </c>
      <c r="B84" s="9">
        <v>2016</v>
      </c>
      <c r="C84" s="10">
        <v>2017</v>
      </c>
      <c r="D84" s="10">
        <v>2018</v>
      </c>
      <c r="E84" s="10">
        <v>2019</v>
      </c>
      <c r="F84" s="10">
        <v>2020</v>
      </c>
      <c r="G84" s="10">
        <v>2021</v>
      </c>
      <c r="H84" s="10">
        <v>2022</v>
      </c>
      <c r="I84" s="10">
        <v>2023</v>
      </c>
      <c r="J84" s="10">
        <v>2024</v>
      </c>
      <c r="K84" s="11" t="s">
        <v>141</v>
      </c>
    </row>
    <row r="85" spans="1:11" x14ac:dyDescent="0.25">
      <c r="A85" s="9" t="s">
        <v>162</v>
      </c>
      <c r="B85" s="84">
        <v>343.07594874999995</v>
      </c>
      <c r="C85" s="85">
        <v>642.08000749999997</v>
      </c>
      <c r="D85" s="85">
        <v>1041.5708774999998</v>
      </c>
      <c r="E85" s="85">
        <v>1136.0509549999999</v>
      </c>
      <c r="F85" s="85">
        <v>1200.72602125</v>
      </c>
      <c r="G85" s="85">
        <v>1200.7882424999998</v>
      </c>
      <c r="H85" s="85">
        <v>1200.7882424999998</v>
      </c>
      <c r="I85" s="85">
        <v>1218.3013012500001</v>
      </c>
      <c r="J85" s="85">
        <v>1217.8462137500001</v>
      </c>
      <c r="K85" s="86">
        <v>9201.2278100000003</v>
      </c>
    </row>
    <row r="86" spans="1:11" x14ac:dyDescent="0.25">
      <c r="A86" s="15" t="s">
        <v>243</v>
      </c>
      <c r="B86" s="87">
        <v>406.47481574999995</v>
      </c>
      <c r="C86" s="71">
        <v>480.51714074999995</v>
      </c>
      <c r="D86" s="71">
        <v>511.55566575</v>
      </c>
      <c r="E86" s="71">
        <v>667.82769074999987</v>
      </c>
      <c r="F86" s="71">
        <v>700.48531574999993</v>
      </c>
      <c r="G86" s="71">
        <v>700.48531574999993</v>
      </c>
      <c r="H86" s="71">
        <v>700.48531574999993</v>
      </c>
      <c r="I86" s="71">
        <v>700.48531574999993</v>
      </c>
      <c r="J86" s="71">
        <v>700.48531574999993</v>
      </c>
      <c r="K86" s="88">
        <v>5568.8018917500003</v>
      </c>
    </row>
    <row r="87" spans="1:11" x14ac:dyDescent="0.25">
      <c r="A87" s="27" t="s">
        <v>242</v>
      </c>
      <c r="B87" s="92">
        <v>406.47481574999995</v>
      </c>
      <c r="C87" s="93">
        <v>480.51714074999995</v>
      </c>
      <c r="D87" s="93">
        <v>511.55566575</v>
      </c>
      <c r="E87" s="93">
        <v>667.82769074999987</v>
      </c>
      <c r="F87" s="93">
        <v>700.48531574999993</v>
      </c>
      <c r="G87" s="93">
        <v>700.48531574999993</v>
      </c>
      <c r="H87" s="93">
        <v>700.48531574999993</v>
      </c>
      <c r="I87" s="93">
        <v>700.48531574999993</v>
      </c>
      <c r="J87" s="93">
        <v>700.48531574999993</v>
      </c>
      <c r="K87" s="94">
        <v>5568.8018917500003</v>
      </c>
    </row>
  </sheetData>
  <phoneticPr fontId="2" type="noConversion"/>
  <pageMargins left="0.2" right="0.26" top="1.52" bottom="0.984251969" header="0.48" footer="0.4921259845"/>
  <pageSetup paperSize="9" scale="88" orientation="landscape" r:id="rId6"/>
  <headerFooter alignWithMargins="0">
    <oddHeader>&amp;C&amp;"Century,Gras"&amp;20Business Plan UKAD
Besoin de Lingots selon Sources</oddHeader>
    <oddFooter>&amp;L&amp;D&amp;R&amp;F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D33" sqref="D33"/>
    </sheetView>
  </sheetViews>
  <sheetFormatPr baseColWidth="10" defaultRowHeight="15" x14ac:dyDescent="0.25"/>
  <cols>
    <col min="1" max="1" width="40.140625" customWidth="1"/>
    <col min="2" max="10" width="9.140625" customWidth="1"/>
    <col min="11" max="11" width="12.5703125" bestFit="1" customWidth="1"/>
    <col min="12" max="14" width="9.5703125" bestFit="1" customWidth="1"/>
    <col min="15" max="15" width="12.5703125" bestFit="1" customWidth="1"/>
  </cols>
  <sheetData>
    <row r="1" spans="1:11" x14ac:dyDescent="0.25">
      <c r="A1" s="23" t="s">
        <v>40</v>
      </c>
      <c r="B1" s="24" t="s">
        <v>69</v>
      </c>
    </row>
    <row r="2" spans="1:11" x14ac:dyDescent="0.25">
      <c r="A2" s="23" t="s">
        <v>27</v>
      </c>
      <c r="B2" s="24" t="s">
        <v>66</v>
      </c>
    </row>
    <row r="3" spans="1:11" x14ac:dyDescent="0.25">
      <c r="A3" s="23" t="s">
        <v>105</v>
      </c>
      <c r="B3" s="24" t="s">
        <v>66</v>
      </c>
    </row>
    <row r="5" spans="1:11" x14ac:dyDescent="0.25">
      <c r="A5" s="6" t="s">
        <v>84</v>
      </c>
      <c r="B5" s="6" t="s">
        <v>51</v>
      </c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6" t="s">
        <v>1</v>
      </c>
      <c r="B6" s="9">
        <v>2016</v>
      </c>
      <c r="C6" s="10">
        <v>2017</v>
      </c>
      <c r="D6" s="10">
        <v>2018</v>
      </c>
      <c r="E6" s="10">
        <v>2019</v>
      </c>
      <c r="F6" s="10">
        <v>2020</v>
      </c>
      <c r="G6" s="10">
        <v>2021</v>
      </c>
      <c r="H6" s="10">
        <v>2022</v>
      </c>
      <c r="I6" s="10">
        <v>2023</v>
      </c>
      <c r="J6" s="10">
        <v>2024</v>
      </c>
      <c r="K6" s="11" t="s">
        <v>141</v>
      </c>
    </row>
    <row r="7" spans="1:11" x14ac:dyDescent="0.25">
      <c r="A7" s="9" t="s">
        <v>95</v>
      </c>
      <c r="B7" s="12">
        <v>490</v>
      </c>
      <c r="C7" s="13">
        <v>490</v>
      </c>
      <c r="D7" s="13">
        <v>800</v>
      </c>
      <c r="E7" s="13">
        <v>840</v>
      </c>
      <c r="F7" s="13">
        <v>875</v>
      </c>
      <c r="G7" s="13">
        <v>880</v>
      </c>
      <c r="H7" s="13">
        <v>880</v>
      </c>
      <c r="I7" s="13">
        <v>885</v>
      </c>
      <c r="J7" s="13">
        <v>885</v>
      </c>
      <c r="K7" s="14">
        <v>7025</v>
      </c>
    </row>
    <row r="8" spans="1:11" x14ac:dyDescent="0.25">
      <c r="A8" s="15" t="s">
        <v>96</v>
      </c>
      <c r="B8" s="16">
        <v>10</v>
      </c>
      <c r="C8" s="17">
        <v>30</v>
      </c>
      <c r="D8" s="17">
        <v>50</v>
      </c>
      <c r="E8" s="17">
        <v>50</v>
      </c>
      <c r="F8" s="17">
        <v>50</v>
      </c>
      <c r="G8" s="17">
        <v>50</v>
      </c>
      <c r="H8" s="17">
        <v>50</v>
      </c>
      <c r="I8" s="17">
        <v>50</v>
      </c>
      <c r="J8" s="17">
        <v>50</v>
      </c>
      <c r="K8" s="18">
        <v>390</v>
      </c>
    </row>
    <row r="9" spans="1:11" x14ac:dyDescent="0.25">
      <c r="A9" s="15" t="s">
        <v>94</v>
      </c>
      <c r="B9" s="16">
        <v>50</v>
      </c>
      <c r="C9" s="17">
        <v>100</v>
      </c>
      <c r="D9" s="17">
        <v>400</v>
      </c>
      <c r="E9" s="17">
        <v>600</v>
      </c>
      <c r="F9" s="17">
        <v>650</v>
      </c>
      <c r="G9" s="17">
        <v>650</v>
      </c>
      <c r="H9" s="17">
        <v>650</v>
      </c>
      <c r="I9" s="17">
        <v>650</v>
      </c>
      <c r="J9" s="17">
        <v>650</v>
      </c>
      <c r="K9" s="18">
        <v>4400</v>
      </c>
    </row>
    <row r="10" spans="1:11" x14ac:dyDescent="0.25">
      <c r="A10" s="15" t="s">
        <v>93</v>
      </c>
      <c r="B10" s="16">
        <v>25</v>
      </c>
      <c r="C10" s="17">
        <v>50</v>
      </c>
      <c r="D10" s="17">
        <v>100</v>
      </c>
      <c r="E10" s="17">
        <v>190</v>
      </c>
      <c r="F10" s="17">
        <v>200</v>
      </c>
      <c r="G10" s="17">
        <v>200</v>
      </c>
      <c r="H10" s="17">
        <v>200</v>
      </c>
      <c r="I10" s="17">
        <v>150</v>
      </c>
      <c r="J10" s="17">
        <v>150</v>
      </c>
      <c r="K10" s="18">
        <v>1265</v>
      </c>
    </row>
    <row r="11" spans="1:11" x14ac:dyDescent="0.25">
      <c r="A11" s="15" t="s">
        <v>87</v>
      </c>
      <c r="B11" s="16">
        <v>50</v>
      </c>
      <c r="C11" s="17">
        <v>150</v>
      </c>
      <c r="D11" s="17">
        <v>300</v>
      </c>
      <c r="E11" s="17">
        <v>300</v>
      </c>
      <c r="F11" s="17">
        <v>300</v>
      </c>
      <c r="G11" s="17">
        <v>300</v>
      </c>
      <c r="H11" s="17">
        <v>300</v>
      </c>
      <c r="I11" s="17">
        <v>300</v>
      </c>
      <c r="J11" s="17">
        <v>300</v>
      </c>
      <c r="K11" s="18">
        <v>2300</v>
      </c>
    </row>
    <row r="12" spans="1:11" x14ac:dyDescent="0.25">
      <c r="A12" s="15" t="s">
        <v>92</v>
      </c>
      <c r="B12" s="16">
        <v>100</v>
      </c>
      <c r="C12" s="17">
        <v>200</v>
      </c>
      <c r="D12" s="17">
        <v>300</v>
      </c>
      <c r="E12" s="17">
        <v>300</v>
      </c>
      <c r="F12" s="17">
        <v>300</v>
      </c>
      <c r="G12" s="17">
        <v>300</v>
      </c>
      <c r="H12" s="17">
        <v>300</v>
      </c>
      <c r="I12" s="17">
        <v>300</v>
      </c>
      <c r="J12" s="17">
        <v>300</v>
      </c>
      <c r="K12" s="18">
        <v>2400</v>
      </c>
    </row>
    <row r="13" spans="1:11" x14ac:dyDescent="0.25">
      <c r="A13" s="15" t="s">
        <v>97</v>
      </c>
      <c r="B13" s="16">
        <v>200</v>
      </c>
      <c r="C13" s="17">
        <v>400</v>
      </c>
      <c r="D13" s="17">
        <v>600</v>
      </c>
      <c r="E13" s="17">
        <v>600</v>
      </c>
      <c r="F13" s="17">
        <v>600</v>
      </c>
      <c r="G13" s="17">
        <v>600</v>
      </c>
      <c r="H13" s="17">
        <v>600</v>
      </c>
      <c r="I13" s="17">
        <v>600</v>
      </c>
      <c r="J13" s="17">
        <v>600</v>
      </c>
      <c r="K13" s="18">
        <v>4800</v>
      </c>
    </row>
    <row r="14" spans="1:11" x14ac:dyDescent="0.25">
      <c r="A14" s="15" t="s">
        <v>134</v>
      </c>
      <c r="B14" s="16">
        <v>25</v>
      </c>
      <c r="C14" s="17">
        <v>50</v>
      </c>
      <c r="D14" s="17">
        <v>100</v>
      </c>
      <c r="E14" s="17">
        <v>190</v>
      </c>
      <c r="F14" s="17">
        <v>250</v>
      </c>
      <c r="G14" s="17">
        <v>200</v>
      </c>
      <c r="H14" s="17">
        <v>200</v>
      </c>
      <c r="I14" s="17">
        <v>200</v>
      </c>
      <c r="J14" s="17">
        <v>150</v>
      </c>
      <c r="K14" s="18">
        <v>1365</v>
      </c>
    </row>
    <row r="15" spans="1:11" x14ac:dyDescent="0.25">
      <c r="A15" s="15" t="s">
        <v>135</v>
      </c>
      <c r="B15" s="16">
        <v>0</v>
      </c>
      <c r="C15" s="17">
        <v>0</v>
      </c>
      <c r="D15" s="17">
        <v>0</v>
      </c>
      <c r="E15" s="17">
        <v>0</v>
      </c>
      <c r="F15" s="17">
        <v>50</v>
      </c>
      <c r="G15" s="17">
        <v>100</v>
      </c>
      <c r="H15" s="17">
        <v>100</v>
      </c>
      <c r="I15" s="17">
        <v>150</v>
      </c>
      <c r="J15" s="17">
        <v>200</v>
      </c>
      <c r="K15" s="18">
        <v>600</v>
      </c>
    </row>
    <row r="16" spans="1:11" x14ac:dyDescent="0.25">
      <c r="A16" s="19" t="s">
        <v>141</v>
      </c>
      <c r="B16" s="20">
        <v>950</v>
      </c>
      <c r="C16" s="21">
        <v>1470</v>
      </c>
      <c r="D16" s="21">
        <v>2650</v>
      </c>
      <c r="E16" s="21">
        <v>3070</v>
      </c>
      <c r="F16" s="21">
        <v>3275</v>
      </c>
      <c r="G16" s="21">
        <v>3280</v>
      </c>
      <c r="H16" s="21">
        <v>3280</v>
      </c>
      <c r="I16" s="21">
        <v>3285</v>
      </c>
      <c r="J16" s="21">
        <v>3285</v>
      </c>
      <c r="K16" s="22">
        <v>24545</v>
      </c>
    </row>
  </sheetData>
  <phoneticPr fontId="2" type="noConversion"/>
  <pageMargins left="0.2" right="0.26" top="1.52" bottom="0.984251969" header="0.48" footer="0.4921259845"/>
  <pageSetup paperSize="9" scale="91" orientation="landscape" r:id="rId2"/>
  <headerFooter alignWithMargins="0">
    <oddHeader>&amp;C&amp;"Century,Gras"&amp;20Business Plan UKAD
Selon Sources Lingots</oddHeader>
    <oddFooter>&amp;L&amp;D&amp;R&amp;F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C16" sqref="C16"/>
    </sheetView>
  </sheetViews>
  <sheetFormatPr baseColWidth="10" defaultRowHeight="15" x14ac:dyDescent="0.25"/>
  <cols>
    <col min="1" max="1" width="34.42578125" customWidth="1"/>
    <col min="2" max="14" width="21.85546875" customWidth="1"/>
    <col min="15" max="15" width="12.5703125" bestFit="1" customWidth="1"/>
  </cols>
  <sheetData>
    <row r="1" spans="1:15" x14ac:dyDescent="0.25">
      <c r="A1" s="23" t="s">
        <v>40</v>
      </c>
      <c r="B1" s="24" t="s">
        <v>16</v>
      </c>
    </row>
    <row r="2" spans="1:15" x14ac:dyDescent="0.25">
      <c r="A2" s="23" t="s">
        <v>27</v>
      </c>
      <c r="B2" s="24" t="s">
        <v>175</v>
      </c>
    </row>
    <row r="3" spans="1:15" x14ac:dyDescent="0.25">
      <c r="A3" s="23" t="s">
        <v>1</v>
      </c>
      <c r="B3" s="24" t="s">
        <v>66</v>
      </c>
    </row>
    <row r="4" spans="1:15" x14ac:dyDescent="0.25">
      <c r="A4" s="23" t="s">
        <v>105</v>
      </c>
      <c r="B4" s="24" t="s">
        <v>66</v>
      </c>
    </row>
    <row r="6" spans="1:15" x14ac:dyDescent="0.25">
      <c r="A6" s="9"/>
      <c r="B6" s="6" t="s">
        <v>51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5" x14ac:dyDescent="0.25">
      <c r="A7" s="6" t="s">
        <v>107</v>
      </c>
      <c r="B7" s="9">
        <v>2012</v>
      </c>
      <c r="C7" s="10">
        <v>2013</v>
      </c>
      <c r="D7" s="10">
        <v>2014</v>
      </c>
      <c r="E7" s="10">
        <v>2015</v>
      </c>
      <c r="F7" s="10">
        <v>2016</v>
      </c>
      <c r="G7" s="10">
        <v>2017</v>
      </c>
      <c r="H7" s="10">
        <v>2018</v>
      </c>
      <c r="I7" s="10">
        <v>2019</v>
      </c>
      <c r="J7" s="10">
        <v>2020</v>
      </c>
      <c r="K7" s="10">
        <v>2021</v>
      </c>
      <c r="L7" s="10">
        <v>2022</v>
      </c>
      <c r="M7" s="10">
        <v>2023</v>
      </c>
      <c r="N7" s="10">
        <v>2024</v>
      </c>
      <c r="O7" s="11" t="s">
        <v>141</v>
      </c>
    </row>
    <row r="8" spans="1:15" x14ac:dyDescent="0.25">
      <c r="A8" s="9" t="s">
        <v>168</v>
      </c>
      <c r="B8" s="84">
        <v>11.339999999999998</v>
      </c>
      <c r="C8" s="85">
        <v>133.70499999999996</v>
      </c>
      <c r="D8" s="85">
        <v>167.23649999999998</v>
      </c>
      <c r="E8" s="85">
        <v>202.51649999999995</v>
      </c>
      <c r="F8" s="85">
        <v>243.99149999999997</v>
      </c>
      <c r="G8" s="85">
        <v>282.31649999999996</v>
      </c>
      <c r="H8" s="85">
        <v>298.06649999999996</v>
      </c>
      <c r="I8" s="85">
        <v>377.86649999999997</v>
      </c>
      <c r="J8" s="85">
        <v>395.19149999999996</v>
      </c>
      <c r="K8" s="85">
        <v>395.19149999999996</v>
      </c>
      <c r="L8" s="85">
        <v>395.19149999999996</v>
      </c>
      <c r="M8" s="85">
        <v>395.19149999999996</v>
      </c>
      <c r="N8" s="85">
        <v>395.19149999999996</v>
      </c>
      <c r="O8" s="86">
        <v>3692.9964999999993</v>
      </c>
    </row>
    <row r="9" spans="1:15" x14ac:dyDescent="0.25">
      <c r="A9" s="15" t="s">
        <v>170</v>
      </c>
      <c r="B9" s="87">
        <v>26.003499999999999</v>
      </c>
      <c r="C9" s="71">
        <v>176.12450000000001</v>
      </c>
      <c r="D9" s="71">
        <v>226.5385</v>
      </c>
      <c r="E9" s="71">
        <v>276.5</v>
      </c>
      <c r="F9" s="71">
        <v>304.79500000000002</v>
      </c>
      <c r="G9" s="71">
        <v>306.48250000000002</v>
      </c>
      <c r="H9" s="71">
        <v>306.48250000000002</v>
      </c>
      <c r="I9" s="71">
        <v>307.60750000000002</v>
      </c>
      <c r="J9" s="71">
        <v>309.29500000000002</v>
      </c>
      <c r="K9" s="71">
        <v>309.29500000000002</v>
      </c>
      <c r="L9" s="71">
        <v>309.29500000000002</v>
      </c>
      <c r="M9" s="71">
        <v>309.29500000000002</v>
      </c>
      <c r="N9" s="71">
        <v>309.29500000000002</v>
      </c>
      <c r="O9" s="88">
        <v>3477.0090000000005</v>
      </c>
    </row>
    <row r="10" spans="1:15" x14ac:dyDescent="0.25">
      <c r="A10" s="15" t="s">
        <v>172</v>
      </c>
      <c r="B10" s="87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88">
        <v>0</v>
      </c>
    </row>
    <row r="11" spans="1:15" x14ac:dyDescent="0.25">
      <c r="A11" s="27" t="s">
        <v>221</v>
      </c>
      <c r="B11" s="92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4">
        <v>0</v>
      </c>
    </row>
    <row r="21" spans="1:11" x14ac:dyDescent="0.25">
      <c r="A21" s="23" t="s">
        <v>40</v>
      </c>
      <c r="B21" s="24" t="s">
        <v>69</v>
      </c>
    </row>
    <row r="22" spans="1:11" x14ac:dyDescent="0.25">
      <c r="A22" s="23" t="s">
        <v>27</v>
      </c>
      <c r="B22" s="24" t="s">
        <v>175</v>
      </c>
    </row>
    <row r="23" spans="1:11" x14ac:dyDescent="0.25">
      <c r="A23" s="23" t="s">
        <v>1</v>
      </c>
      <c r="B23" s="24" t="s">
        <v>66</v>
      </c>
    </row>
    <row r="24" spans="1:11" x14ac:dyDescent="0.25">
      <c r="A24" s="23" t="s">
        <v>105</v>
      </c>
      <c r="B24" s="24" t="s">
        <v>66</v>
      </c>
    </row>
    <row r="26" spans="1:11" x14ac:dyDescent="0.25">
      <c r="A26" s="9"/>
      <c r="B26" s="6" t="s">
        <v>51</v>
      </c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6" t="s">
        <v>107</v>
      </c>
      <c r="B27" s="9">
        <v>2016</v>
      </c>
      <c r="C27" s="10">
        <v>2017</v>
      </c>
      <c r="D27" s="10">
        <v>2018</v>
      </c>
      <c r="E27" s="10">
        <v>2019</v>
      </c>
      <c r="F27" s="10">
        <v>2020</v>
      </c>
      <c r="G27" s="10">
        <v>2021</v>
      </c>
      <c r="H27" s="10">
        <v>2022</v>
      </c>
      <c r="I27" s="10">
        <v>2023</v>
      </c>
      <c r="J27" s="10">
        <v>2024</v>
      </c>
      <c r="K27" s="11" t="s">
        <v>141</v>
      </c>
    </row>
    <row r="28" spans="1:11" x14ac:dyDescent="0.25">
      <c r="A28" s="9" t="s">
        <v>222</v>
      </c>
      <c r="B28" s="84">
        <v>49.874999999999993</v>
      </c>
      <c r="C28" s="85">
        <v>77.174999999999997</v>
      </c>
      <c r="D28" s="85">
        <v>139.125</v>
      </c>
      <c r="E28" s="85">
        <v>161.17499999999998</v>
      </c>
      <c r="F28" s="85">
        <v>171.9375</v>
      </c>
      <c r="G28" s="85">
        <v>172.2</v>
      </c>
      <c r="H28" s="85">
        <v>172.2</v>
      </c>
      <c r="I28" s="85">
        <v>172.46249999999998</v>
      </c>
      <c r="J28" s="85">
        <v>172.46249999999998</v>
      </c>
      <c r="K28" s="86">
        <v>1288.6125000000002</v>
      </c>
    </row>
    <row r="29" spans="1:11" x14ac:dyDescent="0.25">
      <c r="A29" s="15" t="s">
        <v>223</v>
      </c>
      <c r="B29" s="87">
        <v>62.368749999999999</v>
      </c>
      <c r="C29" s="71">
        <v>127.55</v>
      </c>
      <c r="D29" s="71">
        <v>212.2</v>
      </c>
      <c r="E29" s="71">
        <v>232.78749999999999</v>
      </c>
      <c r="F29" s="71">
        <v>241.38749999999999</v>
      </c>
      <c r="G29" s="71">
        <v>241.38749999999999</v>
      </c>
      <c r="H29" s="71">
        <v>241.38749999999999</v>
      </c>
      <c r="I29" s="71">
        <v>240.95</v>
      </c>
      <c r="J29" s="71">
        <v>240.95</v>
      </c>
      <c r="K29" s="88">
        <v>1840.9687500000002</v>
      </c>
    </row>
    <row r="30" spans="1:11" x14ac:dyDescent="0.25">
      <c r="A30" s="15" t="s">
        <v>224</v>
      </c>
      <c r="B30" s="87">
        <v>4</v>
      </c>
      <c r="C30" s="71">
        <v>8</v>
      </c>
      <c r="D30" s="71">
        <v>32</v>
      </c>
      <c r="E30" s="71">
        <v>48</v>
      </c>
      <c r="F30" s="71">
        <v>52</v>
      </c>
      <c r="G30" s="71">
        <v>52</v>
      </c>
      <c r="H30" s="71">
        <v>52</v>
      </c>
      <c r="I30" s="71">
        <v>52</v>
      </c>
      <c r="J30" s="71">
        <v>52</v>
      </c>
      <c r="K30" s="88">
        <v>352</v>
      </c>
    </row>
    <row r="31" spans="1:11" x14ac:dyDescent="0.25">
      <c r="A31" s="27" t="s">
        <v>225</v>
      </c>
      <c r="B31" s="92">
        <v>243.99149999999997</v>
      </c>
      <c r="C31" s="93">
        <v>282.31649999999996</v>
      </c>
      <c r="D31" s="93">
        <v>298.06649999999996</v>
      </c>
      <c r="E31" s="93">
        <v>377.86649999999997</v>
      </c>
      <c r="F31" s="93">
        <v>395.19149999999996</v>
      </c>
      <c r="G31" s="93">
        <v>395.19149999999996</v>
      </c>
      <c r="H31" s="93">
        <v>395.19149999999996</v>
      </c>
      <c r="I31" s="93">
        <v>395.19149999999996</v>
      </c>
      <c r="J31" s="93">
        <v>395.19149999999996</v>
      </c>
      <c r="K31" s="94">
        <v>3178.1984999999995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9</vt:i4>
      </vt:variant>
    </vt:vector>
  </HeadingPairs>
  <TitlesOfParts>
    <vt:vector size="24" baseType="lpstr">
      <vt:lpstr>Hypothèses</vt:lpstr>
      <vt:lpstr>Paramétrage</vt:lpstr>
      <vt:lpstr>Marchés et Chutes</vt:lpstr>
      <vt:lpstr>Prix Lingots et Chutes</vt:lpstr>
      <vt:lpstr>Negoce Chutes</vt:lpstr>
      <vt:lpstr>BP</vt:lpstr>
      <vt:lpstr>Lingots</vt:lpstr>
      <vt:lpstr>DP UKAD</vt:lpstr>
      <vt:lpstr>Massifs</vt:lpstr>
      <vt:lpstr>Copeaux</vt:lpstr>
      <vt:lpstr>Transfert</vt:lpstr>
      <vt:lpstr>Vérification Lingots</vt:lpstr>
      <vt:lpstr>Door Frames</vt:lpstr>
      <vt:lpstr>Synt Annuelle Eco TI</vt:lpstr>
      <vt:lpstr>Feuil5</vt:lpstr>
      <vt:lpstr>base</vt:lpstr>
      <vt:lpstr>convchutes</vt:lpstr>
      <vt:lpstr>descmarche</vt:lpstr>
      <vt:lpstr>negchutes</vt:lpstr>
      <vt:lpstr>pxcopeau</vt:lpstr>
      <vt:lpstr>pxferroti</vt:lpstr>
      <vt:lpstr>pxlingot</vt:lpstr>
      <vt:lpstr>pxmassif</vt:lpstr>
      <vt:lpstr>recupchute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Aubert &amp; Duval</cp:lastModifiedBy>
  <cp:lastPrinted>2012-02-15T15:29:02Z</cp:lastPrinted>
  <dcterms:created xsi:type="dcterms:W3CDTF">2012-01-25T13:27:29Z</dcterms:created>
  <dcterms:modified xsi:type="dcterms:W3CDTF">2012-02-15T15:29:58Z</dcterms:modified>
</cp:coreProperties>
</file>