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olas.proix\Documents\PRIVATE\1000_NPROIX\03500_Suivi\Budget2021\"/>
    </mc:Choice>
  </mc:AlternateContent>
  <xr:revisionPtr revIDLastSave="0" documentId="13_ncr:1_{7D3287AB-A211-4A3D-AE77-0D991ABD25D3}" xr6:coauthVersionLast="44" xr6:coauthVersionMax="44" xr10:uidLastSave="{00000000-0000-0000-0000-000000000000}"/>
  <bookViews>
    <workbookView xWindow="-108" yWindow="-108" windowWidth="23256" windowHeight="12576" tabRatio="562" firstSheet="4" activeTab="4" xr2:uid="{00000000-000D-0000-FFFF-FFFF00000000}"/>
    <workbookView xWindow="-4245" yWindow="-21720" windowWidth="38640" windowHeight="21240" firstSheet="4" activeTab="6" xr2:uid="{22088964-8329-4CD7-A0FD-B854088F6189}"/>
  </bookViews>
  <sheets>
    <sheet name="Ventilation" sheetId="14" state="hidden" r:id="rId1"/>
    <sheet name="Data base UO Presse par t" sheetId="13" state="hidden" r:id="rId2"/>
    <sheet name="UKAD Pgm" sheetId="17" state="hidden" r:id="rId3"/>
    <sheet name="Rates" sheetId="16" state="hidden" r:id="rId4"/>
    <sheet name="Scénario 1" sheetId="18" r:id="rId5"/>
    <sheet name="Scénario 2" sheetId="20" r:id="rId6"/>
    <sheet name="Scénario 3" sheetId="22" r:id="rId7"/>
    <sheet name="Tables Prix" sheetId="15" state="hidden" r:id="rId8"/>
  </sheets>
  <definedNames>
    <definedName name="_xlnm._FilterDatabase" localSheetId="4" hidden="1">'Scénario 1'!$A$3:$I$37</definedName>
    <definedName name="_xlnm._FilterDatabase" localSheetId="5" hidden="1">'Scénario 2'!$A$3:$I$37</definedName>
    <definedName name="_xlnm._FilterDatabase" localSheetId="6" hidden="1">'Scénario 3'!$A$3:$I$37</definedName>
    <definedName name="_xlnm._FilterDatabase" localSheetId="7" hidden="1">'Tables Prix'!$A$3:$AS$50</definedName>
    <definedName name="ecoti2018">#REF!</definedName>
    <definedName name="ecoti2020">#REF!</definedName>
    <definedName name="ecoti2021">#REF!</definedName>
    <definedName name="ecoti2022">#REF!</definedName>
    <definedName name="ecoti2023">#REF!</definedName>
    <definedName name="ecoti2024">#REF!</definedName>
    <definedName name="ecoti2025">#REF!</definedName>
    <definedName name="ecoti2026">#REF!</definedName>
    <definedName name="ecoti2027">#REF!</definedName>
    <definedName name="ecoti2028">#REF!</definedName>
    <definedName name="FamTech">#REF!</definedName>
    <definedName name="impactairbus">Rates!$A$55:$C$62</definedName>
    <definedName name="impactautres">Rates!$I$55:$K$62</definedName>
    <definedName name="impactmoteurs">Rates!$A$65:$C$72</definedName>
    <definedName name="impactPL">Rates!$E$55:$G$62</definedName>
    <definedName name="nbinc">#REF!</definedName>
    <definedName name="parite">'Tables Prix'!$1:$1</definedName>
    <definedName name="plan">#REF!</definedName>
    <definedName name="pxdpeco">'Tables Prix'!$AI$2:$AS$50</definedName>
    <definedName name="pxdpuk">'Tables Prix'!$X$2:$AH$50</definedName>
    <definedName name="pxlgteco">'Tables Prix'!$M$2:$W$50</definedName>
    <definedName name="pxlgtuk">'Tables Prix'!$B$2:$L$50</definedName>
    <definedName name="repan">#REF!</definedName>
    <definedName name="TpsRef">'Data base UO Presse par t'!$B$2:$L$21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2" i="22" l="1"/>
  <c r="N51" i="22"/>
  <c r="M52" i="22"/>
  <c r="L52" i="22"/>
  <c r="L51" i="22"/>
  <c r="AI41" i="22"/>
  <c r="U52" i="20"/>
  <c r="T52" i="20"/>
  <c r="T51" i="20"/>
  <c r="AX25" i="22"/>
  <c r="AS25" i="22"/>
  <c r="AH40" i="20"/>
  <c r="AH39" i="20"/>
  <c r="AI41" i="20"/>
  <c r="AN41" i="20" s="1"/>
  <c r="AM1" i="18" l="1"/>
  <c r="AO41" i="18" l="1"/>
  <c r="AI41" i="18"/>
  <c r="AY25" i="18"/>
  <c r="AT25" i="18"/>
  <c r="AI40" i="22"/>
  <c r="AN40" i="22" s="1"/>
  <c r="H40" i="22"/>
  <c r="AR39" i="22"/>
  <c r="AQ39" i="22"/>
  <c r="AI39" i="22"/>
  <c r="AN39" i="22" s="1"/>
  <c r="H39" i="22"/>
  <c r="D37" i="22"/>
  <c r="I36" i="22"/>
  <c r="H36" i="22"/>
  <c r="F36" i="22"/>
  <c r="D36" i="22"/>
  <c r="C36" i="22"/>
  <c r="C37" i="22" s="1"/>
  <c r="B36" i="22"/>
  <c r="B37" i="22" s="1"/>
  <c r="AM35" i="22"/>
  <c r="BB35" i="22" s="1"/>
  <c r="K35" i="22"/>
  <c r="E35" i="22"/>
  <c r="BE34" i="22"/>
  <c r="BC34" i="22"/>
  <c r="BB34" i="22"/>
  <c r="AZ34" i="22"/>
  <c r="AX34" i="22"/>
  <c r="AW34" i="22"/>
  <c r="AU34" i="22"/>
  <c r="AT34" i="22"/>
  <c r="AR34" i="22"/>
  <c r="AP34" i="22"/>
  <c r="AM34" i="22"/>
  <c r="BD34" i="22" s="1"/>
  <c r="K34" i="22"/>
  <c r="E34" i="22"/>
  <c r="AM33" i="22"/>
  <c r="BB33" i="22" s="1"/>
  <c r="K33" i="22"/>
  <c r="E33" i="22"/>
  <c r="BE32" i="22"/>
  <c r="BC32" i="22"/>
  <c r="BB32" i="22"/>
  <c r="AZ32" i="22"/>
  <c r="AX32" i="22"/>
  <c r="AW32" i="22"/>
  <c r="AU32" i="22"/>
  <c r="AT32" i="22"/>
  <c r="AR32" i="22"/>
  <c r="AP32" i="22"/>
  <c r="AM32" i="22"/>
  <c r="BD32" i="22" s="1"/>
  <c r="K32" i="22"/>
  <c r="E32" i="22"/>
  <c r="AM31" i="22"/>
  <c r="BB31" i="22" s="1"/>
  <c r="AE31" i="22"/>
  <c r="K31" i="22"/>
  <c r="BE30" i="22"/>
  <c r="BC30" i="22"/>
  <c r="BB30" i="22"/>
  <c r="AZ30" i="22"/>
  <c r="AX30" i="22"/>
  <c r="AW30" i="22"/>
  <c r="AU30" i="22"/>
  <c r="AT30" i="22"/>
  <c r="AR30" i="22"/>
  <c r="AP30" i="22"/>
  <c r="AM30" i="22"/>
  <c r="BD30" i="22" s="1"/>
  <c r="K30" i="22"/>
  <c r="E30" i="22"/>
  <c r="AG29" i="22"/>
  <c r="AD29" i="22"/>
  <c r="AE29" i="22" s="1"/>
  <c r="AM29" i="22" s="1"/>
  <c r="AA29" i="22"/>
  <c r="W29" i="22"/>
  <c r="S29" i="22"/>
  <c r="K29" i="22" s="1"/>
  <c r="E29" i="22"/>
  <c r="AZ28" i="22"/>
  <c r="AX28" i="22"/>
  <c r="AU28" i="22"/>
  <c r="AR28" i="22"/>
  <c r="AP28" i="22"/>
  <c r="AM28" i="22"/>
  <c r="BD28" i="22" s="1"/>
  <c r="K28" i="22"/>
  <c r="BA27" i="22"/>
  <c r="AS27" i="22"/>
  <c r="AM27" i="22"/>
  <c r="AY27" i="22" s="1"/>
  <c r="K27" i="22"/>
  <c r="E27" i="22"/>
  <c r="BE26" i="22"/>
  <c r="BC26" i="22"/>
  <c r="BB26" i="22"/>
  <c r="BA26" i="22"/>
  <c r="AZ26" i="22"/>
  <c r="AY26" i="22"/>
  <c r="AW26" i="22"/>
  <c r="AU26" i="22"/>
  <c r="AT26" i="22"/>
  <c r="AS26" i="22"/>
  <c r="AR26" i="22"/>
  <c r="AQ26" i="22"/>
  <c r="AM26" i="22"/>
  <c r="AX26" i="22" s="1"/>
  <c r="K26" i="22"/>
  <c r="AG25" i="22"/>
  <c r="AC25" i="22"/>
  <c r="K25" i="22"/>
  <c r="E25" i="22"/>
  <c r="Z24" i="22"/>
  <c r="X24" i="22"/>
  <c r="V24" i="22"/>
  <c r="T24" i="22"/>
  <c r="R24" i="22"/>
  <c r="E24" i="22"/>
  <c r="BA23" i="22"/>
  <c r="AS23" i="22"/>
  <c r="AM23" i="22"/>
  <c r="AY23" i="22" s="1"/>
  <c r="AH23" i="22"/>
  <c r="AG23" i="22"/>
  <c r="K23" i="22"/>
  <c r="E23" i="22"/>
  <c r="AY22" i="22"/>
  <c r="AQ22" i="22"/>
  <c r="AM22" i="22"/>
  <c r="BE22" i="22" s="1"/>
  <c r="K22" i="22"/>
  <c r="H22" i="22"/>
  <c r="G22" i="22"/>
  <c r="G36" i="22" s="1"/>
  <c r="F22" i="22"/>
  <c r="E22" i="22"/>
  <c r="BC21" i="22"/>
  <c r="BA21" i="22"/>
  <c r="AZ21" i="22"/>
  <c r="AX21" i="22"/>
  <c r="AU21" i="22"/>
  <c r="AS21" i="22"/>
  <c r="AR21" i="22"/>
  <c r="AP21" i="22"/>
  <c r="AM21" i="22"/>
  <c r="BD21" i="22" s="1"/>
  <c r="K21" i="22"/>
  <c r="H21" i="22"/>
  <c r="E21" i="22"/>
  <c r="BE20" i="22"/>
  <c r="BC20" i="22"/>
  <c r="BB20" i="22"/>
  <c r="BA20" i="22"/>
  <c r="AZ20" i="22"/>
  <c r="AY20" i="22"/>
  <c r="AX20" i="22"/>
  <c r="AW20" i="22"/>
  <c r="AU20" i="22"/>
  <c r="AT20" i="22"/>
  <c r="AS20" i="22"/>
  <c r="AR20" i="22"/>
  <c r="AQ20" i="22"/>
  <c r="AP20" i="22"/>
  <c r="AM20" i="22"/>
  <c r="BD20" i="22" s="1"/>
  <c r="K20" i="22"/>
  <c r="E20" i="22"/>
  <c r="AY19" i="22"/>
  <c r="AQ19" i="22"/>
  <c r="AM19" i="22"/>
  <c r="BE19" i="22" s="1"/>
  <c r="K19" i="22"/>
  <c r="E19" i="22"/>
  <c r="AB18" i="22"/>
  <c r="K18" i="22" s="1"/>
  <c r="W18" i="22"/>
  <c r="E18" i="22"/>
  <c r="BA17" i="22"/>
  <c r="AX17" i="22"/>
  <c r="AS17" i="22"/>
  <c r="AP17" i="22"/>
  <c r="AM17" i="22"/>
  <c r="AY17" i="22" s="1"/>
  <c r="K17" i="22"/>
  <c r="E17" i="22"/>
  <c r="BE16" i="22"/>
  <c r="BC16" i="22"/>
  <c r="BB16" i="22"/>
  <c r="BA16" i="22"/>
  <c r="AZ16" i="22"/>
  <c r="AY16" i="22"/>
  <c r="AW16" i="22"/>
  <c r="AU16" i="22"/>
  <c r="AT16" i="22"/>
  <c r="AS16" i="22"/>
  <c r="AR16" i="22"/>
  <c r="AQ16" i="22"/>
  <c r="AM16" i="22"/>
  <c r="AX16" i="22" s="1"/>
  <c r="K16" i="22"/>
  <c r="Z15" i="22"/>
  <c r="AA15" i="22" s="1"/>
  <c r="AB15" i="22" s="1"/>
  <c r="AC15" i="22" s="1"/>
  <c r="AD15" i="22" s="1"/>
  <c r="AE15" i="22" s="1"/>
  <c r="W15" i="22"/>
  <c r="S15" i="22"/>
  <c r="E15" i="22"/>
  <c r="BC14" i="22"/>
  <c r="BA14" i="22"/>
  <c r="AZ14" i="22"/>
  <c r="AX14" i="22"/>
  <c r="AU14" i="22"/>
  <c r="AS14" i="22"/>
  <c r="AR14" i="22"/>
  <c r="AP14" i="22"/>
  <c r="AM14" i="22"/>
  <c r="BD14" i="22" s="1"/>
  <c r="K14" i="22"/>
  <c r="E14" i="22"/>
  <c r="Z13" i="22"/>
  <c r="V13" i="22"/>
  <c r="E13" i="22"/>
  <c r="BE12" i="22"/>
  <c r="BC12" i="22"/>
  <c r="BB12" i="22"/>
  <c r="AZ12" i="22"/>
  <c r="AX12" i="22"/>
  <c r="AW12" i="22"/>
  <c r="AU12" i="22"/>
  <c r="AT12" i="22"/>
  <c r="AR12" i="22"/>
  <c r="AP12" i="22"/>
  <c r="AM12" i="22"/>
  <c r="BD12" i="22" s="1"/>
  <c r="K12" i="22"/>
  <c r="E12" i="22"/>
  <c r="AM11" i="22"/>
  <c r="BD11" i="22" s="1"/>
  <c r="K11" i="22"/>
  <c r="E11" i="22"/>
  <c r="BE10" i="22"/>
  <c r="BC10" i="22"/>
  <c r="BB10" i="22"/>
  <c r="AZ10" i="22"/>
  <c r="AX10" i="22"/>
  <c r="AW10" i="22"/>
  <c r="AU10" i="22"/>
  <c r="AT10" i="22"/>
  <c r="AR10" i="22"/>
  <c r="AP10" i="22"/>
  <c r="AM10" i="22"/>
  <c r="BD10" i="22" s="1"/>
  <c r="K10" i="22"/>
  <c r="E10" i="22"/>
  <c r="BD9" i="22"/>
  <c r="AV9" i="22"/>
  <c r="AM9" i="22"/>
  <c r="K9" i="22"/>
  <c r="E9" i="22"/>
  <c r="BE8" i="22"/>
  <c r="BC8" i="22"/>
  <c r="BB8" i="22"/>
  <c r="AZ8" i="22"/>
  <c r="AX8" i="22"/>
  <c r="AW8" i="22"/>
  <c r="AU8" i="22"/>
  <c r="AT8" i="22"/>
  <c r="AR8" i="22"/>
  <c r="AP8" i="22"/>
  <c r="AM8" i="22"/>
  <c r="BD8" i="22" s="1"/>
  <c r="K8" i="22"/>
  <c r="E8" i="22"/>
  <c r="AN7" i="22"/>
  <c r="AM7" i="22"/>
  <c r="K7" i="22"/>
  <c r="E7" i="22"/>
  <c r="AN6" i="22"/>
  <c r="AM6" i="22"/>
  <c r="K6" i="22"/>
  <c r="E6" i="22"/>
  <c r="AN5" i="22"/>
  <c r="AM5" i="22"/>
  <c r="K5" i="22"/>
  <c r="E5" i="22"/>
  <c r="AI40" i="20"/>
  <c r="AN40" i="20" s="1"/>
  <c r="H40" i="20"/>
  <c r="AR39" i="20"/>
  <c r="AQ39" i="20"/>
  <c r="AI39" i="20"/>
  <c r="AN39" i="20" s="1"/>
  <c r="H39" i="20"/>
  <c r="I36" i="20"/>
  <c r="D36" i="20"/>
  <c r="D37" i="20" s="1"/>
  <c r="C36" i="20"/>
  <c r="C37" i="20" s="1"/>
  <c r="B36" i="20"/>
  <c r="B37" i="20" s="1"/>
  <c r="AZ35" i="20"/>
  <c r="AV35" i="20"/>
  <c r="AM35" i="20"/>
  <c r="AR35" i="20" s="1"/>
  <c r="K35" i="20"/>
  <c r="E35" i="20"/>
  <c r="AM34" i="20"/>
  <c r="AV34" i="20" s="1"/>
  <c r="K34" i="20"/>
  <c r="E34" i="20"/>
  <c r="AM33" i="20"/>
  <c r="AV33" i="20" s="1"/>
  <c r="K33" i="20"/>
  <c r="E33" i="20"/>
  <c r="AM32" i="20"/>
  <c r="AZ32" i="20" s="1"/>
  <c r="K32" i="20"/>
  <c r="E32" i="20"/>
  <c r="AZ31" i="20"/>
  <c r="AM31" i="20"/>
  <c r="AV31" i="20" s="1"/>
  <c r="AE31" i="20"/>
  <c r="K31" i="20"/>
  <c r="AM30" i="20"/>
  <c r="AR30" i="20" s="1"/>
  <c r="K30" i="20"/>
  <c r="E30" i="20"/>
  <c r="AG29" i="20"/>
  <c r="AD29" i="20"/>
  <c r="AE29" i="20" s="1"/>
  <c r="AA29" i="20"/>
  <c r="AM29" i="20" s="1"/>
  <c r="W29" i="20"/>
  <c r="S29" i="20"/>
  <c r="E29" i="20"/>
  <c r="BB28" i="20"/>
  <c r="AY28" i="20"/>
  <c r="AT28" i="20"/>
  <c r="AM28" i="20"/>
  <c r="BD28" i="20" s="1"/>
  <c r="K28" i="20"/>
  <c r="BE27" i="20"/>
  <c r="BB27" i="20"/>
  <c r="AM27" i="20"/>
  <c r="AY27" i="20" s="1"/>
  <c r="K27" i="20"/>
  <c r="E27" i="20"/>
  <c r="BE26" i="20"/>
  <c r="AX26" i="20"/>
  <c r="AP26" i="20"/>
  <c r="AM26" i="20"/>
  <c r="BC26" i="20" s="1"/>
  <c r="K26" i="20"/>
  <c r="AG25" i="20"/>
  <c r="AC25" i="20"/>
  <c r="K25" i="20"/>
  <c r="E25" i="20"/>
  <c r="Z24" i="20"/>
  <c r="X24" i="20"/>
  <c r="V24" i="20"/>
  <c r="T24" i="20"/>
  <c r="R24" i="20"/>
  <c r="E24" i="20"/>
  <c r="BA23" i="20"/>
  <c r="AW23" i="20"/>
  <c r="AT23" i="20"/>
  <c r="AR23" i="20"/>
  <c r="AM23" i="20"/>
  <c r="AY23" i="20" s="1"/>
  <c r="AG23" i="20"/>
  <c r="AH23" i="20" s="1"/>
  <c r="K23" i="20"/>
  <c r="E23" i="20"/>
  <c r="BC22" i="20"/>
  <c r="BB22" i="20"/>
  <c r="AY22" i="20"/>
  <c r="AX22" i="20"/>
  <c r="AT22" i="20"/>
  <c r="AQ22" i="20"/>
  <c r="AP22" i="20"/>
  <c r="AM22" i="20"/>
  <c r="BE22" i="20" s="1"/>
  <c r="K22" i="20"/>
  <c r="H22" i="20"/>
  <c r="G22" i="20"/>
  <c r="G36" i="20" s="1"/>
  <c r="F22" i="20"/>
  <c r="F36" i="20" s="1"/>
  <c r="E22" i="20"/>
  <c r="BE21" i="20"/>
  <c r="BC21" i="20"/>
  <c r="BA21" i="20"/>
  <c r="AW21" i="20"/>
  <c r="AT21" i="20"/>
  <c r="AS21" i="20"/>
  <c r="AP21" i="20"/>
  <c r="AM21" i="20"/>
  <c r="BD21" i="20" s="1"/>
  <c r="K21" i="20"/>
  <c r="H21" i="20"/>
  <c r="H36" i="20" s="1"/>
  <c r="E21" i="20"/>
  <c r="AM20" i="20"/>
  <c r="AY20" i="20" s="1"/>
  <c r="K20" i="20"/>
  <c r="E20" i="20"/>
  <c r="BC19" i="20"/>
  <c r="BB19" i="20"/>
  <c r="AY19" i="20"/>
  <c r="AU19" i="20"/>
  <c r="AT19" i="20"/>
  <c r="AQ19" i="20"/>
  <c r="AP19" i="20"/>
  <c r="AM19" i="20"/>
  <c r="BE19" i="20" s="1"/>
  <c r="K19" i="20"/>
  <c r="E19" i="20"/>
  <c r="AB18" i="20"/>
  <c r="W18" i="20"/>
  <c r="K18" i="20" s="1"/>
  <c r="E18" i="20"/>
  <c r="AM17" i="20"/>
  <c r="AY17" i="20" s="1"/>
  <c r="K17" i="20"/>
  <c r="E17" i="20"/>
  <c r="BE16" i="20"/>
  <c r="AX16" i="20"/>
  <c r="AS16" i="20"/>
  <c r="AP16" i="20"/>
  <c r="AM16" i="20"/>
  <c r="BC16" i="20" s="1"/>
  <c r="K16" i="20"/>
  <c r="Z15" i="20"/>
  <c r="AA15" i="20" s="1"/>
  <c r="AB15" i="20" s="1"/>
  <c r="AC15" i="20" s="1"/>
  <c r="AD15" i="20" s="1"/>
  <c r="AE15" i="20" s="1"/>
  <c r="W15" i="20"/>
  <c r="S15" i="20"/>
  <c r="T15" i="20" s="1"/>
  <c r="U15" i="20" s="1"/>
  <c r="E15" i="20"/>
  <c r="BE14" i="20"/>
  <c r="BB14" i="20"/>
  <c r="BA14" i="20"/>
  <c r="AX14" i="20"/>
  <c r="AW14" i="20"/>
  <c r="AT14" i="20"/>
  <c r="AQ14" i="20"/>
  <c r="AP14" i="20"/>
  <c r="AM14" i="20"/>
  <c r="BD14" i="20" s="1"/>
  <c r="K14" i="20"/>
  <c r="E14" i="20"/>
  <c r="Z13" i="20"/>
  <c r="V13" i="20"/>
  <c r="E13" i="20"/>
  <c r="AM12" i="20"/>
  <c r="BD12" i="20" s="1"/>
  <c r="K12" i="20"/>
  <c r="E12" i="20"/>
  <c r="AM11" i="20"/>
  <c r="AZ11" i="20" s="1"/>
  <c r="K11" i="20"/>
  <c r="E11" i="20"/>
  <c r="AM10" i="20"/>
  <c r="BD10" i="20" s="1"/>
  <c r="K10" i="20"/>
  <c r="E10" i="20"/>
  <c r="BD9" i="20"/>
  <c r="AV9" i="20"/>
  <c r="AR9" i="20"/>
  <c r="AM9" i="20"/>
  <c r="AZ9" i="20" s="1"/>
  <c r="K9" i="20"/>
  <c r="E9" i="20"/>
  <c r="AV8" i="20"/>
  <c r="AM8" i="20"/>
  <c r="BA8" i="20" s="1"/>
  <c r="K8" i="20"/>
  <c r="E8" i="20"/>
  <c r="AN7" i="20"/>
  <c r="AM7" i="20"/>
  <c r="K7" i="20"/>
  <c r="E7" i="20"/>
  <c r="AN6" i="20"/>
  <c r="AM6" i="20"/>
  <c r="K6" i="20"/>
  <c r="E6" i="20"/>
  <c r="AN5" i="20"/>
  <c r="AM5" i="20"/>
  <c r="K5" i="20"/>
  <c r="E5" i="20"/>
  <c r="AS39" i="18"/>
  <c r="AS25" i="18"/>
  <c r="AR39" i="18"/>
  <c r="AR29" i="18"/>
  <c r="AS29" i="18"/>
  <c r="AO40" i="18"/>
  <c r="AI39" i="18"/>
  <c r="AO39" i="18" s="1"/>
  <c r="AR25" i="18"/>
  <c r="AR28" i="18"/>
  <c r="AQ25" i="18"/>
  <c r="AI40" i="18"/>
  <c r="AR11" i="20" l="1"/>
  <c r="AS14" i="20"/>
  <c r="BC14" i="20"/>
  <c r="AW16" i="20"/>
  <c r="AT17" i="20"/>
  <c r="AX19" i="20"/>
  <c r="AU21" i="20"/>
  <c r="AR22" i="20"/>
  <c r="AZ23" i="20"/>
  <c r="AR34" i="20"/>
  <c r="BD35" i="20"/>
  <c r="AZ12" i="20"/>
  <c r="AV11" i="20"/>
  <c r="K29" i="20"/>
  <c r="AM18" i="20"/>
  <c r="AW17" i="20"/>
  <c r="AY8" i="20"/>
  <c r="BD11" i="20"/>
  <c r="AU14" i="20"/>
  <c r="BA16" i="20"/>
  <c r="BA17" i="20"/>
  <c r="AZ19" i="20"/>
  <c r="AX21" i="20"/>
  <c r="AU22" i="20"/>
  <c r="BB23" i="20"/>
  <c r="AS26" i="20"/>
  <c r="AS27" i="20"/>
  <c r="AP28" i="20"/>
  <c r="BE11" i="20"/>
  <c r="K15" i="20"/>
  <c r="BB17" i="20"/>
  <c r="AY21" i="20"/>
  <c r="BE23" i="20"/>
  <c r="AW26" i="20"/>
  <c r="AT27" i="20"/>
  <c r="AQ28" i="20"/>
  <c r="AM24" i="20"/>
  <c r="BE17" i="20"/>
  <c r="AW27" i="20"/>
  <c r="AS17" i="20"/>
  <c r="AY14" i="20"/>
  <c r="AR19" i="20"/>
  <c r="AQ21" i="20"/>
  <c r="BB21" i="20"/>
  <c r="AZ22" i="20"/>
  <c r="AS23" i="20"/>
  <c r="K24" i="20"/>
  <c r="AD25" i="20"/>
  <c r="AE25" i="20" s="1"/>
  <c r="BA26" i="20"/>
  <c r="BA27" i="20"/>
  <c r="AX28" i="20"/>
  <c r="BB29" i="22"/>
  <c r="AT29" i="22"/>
  <c r="BA29" i="22"/>
  <c r="AS29" i="22"/>
  <c r="AZ29" i="22"/>
  <c r="AR29" i="22"/>
  <c r="AY29" i="22"/>
  <c r="AQ29" i="22"/>
  <c r="AX29" i="22"/>
  <c r="AP29" i="22"/>
  <c r="BE29" i="22"/>
  <c r="AW29" i="22"/>
  <c r="BD29" i="22"/>
  <c r="AV29" i="22"/>
  <c r="BC29" i="22"/>
  <c r="AU29" i="22"/>
  <c r="AV11" i="22"/>
  <c r="AM13" i="22"/>
  <c r="K13" i="22"/>
  <c r="BB11" i="22"/>
  <c r="AT11" i="22"/>
  <c r="BA11" i="22"/>
  <c r="AS11" i="22"/>
  <c r="AZ11" i="22"/>
  <c r="AR11" i="22"/>
  <c r="AY11" i="22"/>
  <c r="AQ11" i="22"/>
  <c r="AX11" i="22"/>
  <c r="AP11" i="22"/>
  <c r="BE11" i="22"/>
  <c r="AW11" i="22"/>
  <c r="BC11" i="22"/>
  <c r="AU11" i="22"/>
  <c r="E36" i="22"/>
  <c r="E37" i="22" s="1"/>
  <c r="K24" i="22"/>
  <c r="AM24" i="22"/>
  <c r="AM25" i="22"/>
  <c r="AD25" i="22"/>
  <c r="AE25" i="22" s="1"/>
  <c r="BB9" i="22"/>
  <c r="AT9" i="22"/>
  <c r="BA9" i="22"/>
  <c r="AS9" i="22"/>
  <c r="AZ9" i="22"/>
  <c r="AR9" i="22"/>
  <c r="AY9" i="22"/>
  <c r="AQ9" i="22"/>
  <c r="AX9" i="22"/>
  <c r="AP9" i="22"/>
  <c r="BE9" i="22"/>
  <c r="AW9" i="22"/>
  <c r="BC9" i="22"/>
  <c r="AU9" i="22"/>
  <c r="AM18" i="22"/>
  <c r="AQ8" i="22"/>
  <c r="AY8" i="22"/>
  <c r="AQ10" i="22"/>
  <c r="AY10" i="22"/>
  <c r="AQ12" i="22"/>
  <c r="AY12" i="22"/>
  <c r="AW14" i="22"/>
  <c r="BE14" i="22"/>
  <c r="AV16" i="22"/>
  <c r="BD16" i="22"/>
  <c r="AR17" i="22"/>
  <c r="AZ17" i="22"/>
  <c r="AP19" i="22"/>
  <c r="AX19" i="22"/>
  <c r="AW21" i="22"/>
  <c r="BE21" i="22"/>
  <c r="AP22" i="22"/>
  <c r="AX22" i="22"/>
  <c r="AR23" i="22"/>
  <c r="AZ23" i="22"/>
  <c r="AV26" i="22"/>
  <c r="BD26" i="22"/>
  <c r="AR27" i="22"/>
  <c r="AZ27" i="22"/>
  <c r="AW28" i="22"/>
  <c r="BE28" i="22"/>
  <c r="AQ30" i="22"/>
  <c r="AY30" i="22"/>
  <c r="AU31" i="22"/>
  <c r="BC31" i="22"/>
  <c r="AQ32" i="22"/>
  <c r="AY32" i="22"/>
  <c r="AU33" i="22"/>
  <c r="BC33" i="22"/>
  <c r="AQ34" i="22"/>
  <c r="AY34" i="22"/>
  <c r="AU35" i="22"/>
  <c r="BC35" i="22"/>
  <c r="AV31" i="22"/>
  <c r="BD31" i="22"/>
  <c r="AV33" i="22"/>
  <c r="BD33" i="22"/>
  <c r="AV35" i="22"/>
  <c r="BD35" i="22"/>
  <c r="AS8" i="22"/>
  <c r="BA8" i="22"/>
  <c r="AS10" i="22"/>
  <c r="BA10" i="22"/>
  <c r="AS12" i="22"/>
  <c r="BA12" i="22"/>
  <c r="AQ14" i="22"/>
  <c r="AY14" i="22"/>
  <c r="AP16" i="22"/>
  <c r="AT17" i="22"/>
  <c r="BB17" i="22"/>
  <c r="AR19" i="22"/>
  <c r="AZ19" i="22"/>
  <c r="AV20" i="22"/>
  <c r="AN20" i="22" s="1"/>
  <c r="AQ21" i="22"/>
  <c r="AY21" i="22"/>
  <c r="AR22" i="22"/>
  <c r="AZ22" i="22"/>
  <c r="AT23" i="22"/>
  <c r="BB23" i="22"/>
  <c r="AP26" i="22"/>
  <c r="AT27" i="22"/>
  <c r="BB27" i="22"/>
  <c r="AQ28" i="22"/>
  <c r="AY28" i="22"/>
  <c r="AS30" i="22"/>
  <c r="BA30" i="22"/>
  <c r="AW31" i="22"/>
  <c r="BE31" i="22"/>
  <c r="AS32" i="22"/>
  <c r="BA32" i="22"/>
  <c r="AW33" i="22"/>
  <c r="BE33" i="22"/>
  <c r="AS34" i="22"/>
  <c r="BA34" i="22"/>
  <c r="AW35" i="22"/>
  <c r="BE35" i="22"/>
  <c r="AU17" i="22"/>
  <c r="BC17" i="22"/>
  <c r="AS19" i="22"/>
  <c r="BA19" i="22"/>
  <c r="AS22" i="22"/>
  <c r="BA22" i="22"/>
  <c r="AU23" i="22"/>
  <c r="BC23" i="22"/>
  <c r="AU27" i="22"/>
  <c r="BC27" i="22"/>
  <c r="AP31" i="22"/>
  <c r="AX31" i="22"/>
  <c r="AP33" i="22"/>
  <c r="AX33" i="22"/>
  <c r="AP35" i="22"/>
  <c r="AX35" i="22"/>
  <c r="T15" i="22"/>
  <c r="U15" i="22" s="1"/>
  <c r="AV17" i="22"/>
  <c r="BD17" i="22"/>
  <c r="AT19" i="22"/>
  <c r="BB19" i="22"/>
  <c r="AT22" i="22"/>
  <c r="BB22" i="22"/>
  <c r="AV23" i="22"/>
  <c r="BD23" i="22"/>
  <c r="AV27" i="22"/>
  <c r="BD27" i="22"/>
  <c r="AS28" i="22"/>
  <c r="BA28" i="22"/>
  <c r="AQ31" i="22"/>
  <c r="AY31" i="22"/>
  <c r="AQ33" i="22"/>
  <c r="AY33" i="22"/>
  <c r="AQ35" i="22"/>
  <c r="AY35" i="22"/>
  <c r="AV8" i="22"/>
  <c r="AV10" i="22"/>
  <c r="AV12" i="22"/>
  <c r="AT14" i="22"/>
  <c r="BB14" i="22"/>
  <c r="AW17" i="22"/>
  <c r="BE17" i="22"/>
  <c r="AU19" i="22"/>
  <c r="BC19" i="22"/>
  <c r="AT21" i="22"/>
  <c r="BB21" i="22"/>
  <c r="AU22" i="22"/>
  <c r="BC22" i="22"/>
  <c r="AW23" i="22"/>
  <c r="BE23" i="22"/>
  <c r="AW27" i="22"/>
  <c r="BE27" i="22"/>
  <c r="AT28" i="22"/>
  <c r="BB28" i="22"/>
  <c r="AV30" i="22"/>
  <c r="AR31" i="22"/>
  <c r="AZ31" i="22"/>
  <c r="AV32" i="22"/>
  <c r="AR33" i="22"/>
  <c r="AZ33" i="22"/>
  <c r="AV34" i="22"/>
  <c r="AR35" i="22"/>
  <c r="AZ35" i="22"/>
  <c r="AV19" i="22"/>
  <c r="BD19" i="22"/>
  <c r="AV22" i="22"/>
  <c r="BD22" i="22"/>
  <c r="AP23" i="22"/>
  <c r="AX23" i="22"/>
  <c r="AP27" i="22"/>
  <c r="AX27" i="22"/>
  <c r="BC28" i="22"/>
  <c r="AS31" i="22"/>
  <c r="BA31" i="22"/>
  <c r="AS33" i="22"/>
  <c r="BA33" i="22"/>
  <c r="AS35" i="22"/>
  <c r="BA35" i="22"/>
  <c r="AV14" i="22"/>
  <c r="AQ17" i="22"/>
  <c r="AW19" i="22"/>
  <c r="AV21" i="22"/>
  <c r="AW22" i="22"/>
  <c r="AQ23" i="22"/>
  <c r="AQ27" i="22"/>
  <c r="AV28" i="22"/>
  <c r="AT31" i="22"/>
  <c r="AT33" i="22"/>
  <c r="AT35" i="22"/>
  <c r="BB29" i="20"/>
  <c r="AT29" i="20"/>
  <c r="BA29" i="20"/>
  <c r="AS29" i="20"/>
  <c r="AY29" i="20"/>
  <c r="AQ29" i="20"/>
  <c r="AX29" i="20"/>
  <c r="AP29" i="20"/>
  <c r="BC29" i="20"/>
  <c r="AU29" i="20"/>
  <c r="BE29" i="20"/>
  <c r="BD29" i="20"/>
  <c r="AZ29" i="20"/>
  <c r="AW29" i="20"/>
  <c r="AR29" i="20"/>
  <c r="AV29" i="20"/>
  <c r="BA18" i="20"/>
  <c r="AS18" i="20"/>
  <c r="AZ18" i="20"/>
  <c r="AR18" i="20"/>
  <c r="AX18" i="20"/>
  <c r="AP18" i="20"/>
  <c r="BE18" i="20"/>
  <c r="AW18" i="20"/>
  <c r="BB18" i="20"/>
  <c r="AT18" i="20"/>
  <c r="AY18" i="20"/>
  <c r="BD18" i="20"/>
  <c r="AV18" i="20"/>
  <c r="AQ18" i="20"/>
  <c r="BC18" i="20"/>
  <c r="AU18" i="20"/>
  <c r="AX24" i="20"/>
  <c r="AP24" i="20"/>
  <c r="BE24" i="20"/>
  <c r="AW24" i="20"/>
  <c r="BC24" i="20"/>
  <c r="AU24" i="20"/>
  <c r="BB24" i="20"/>
  <c r="AT24" i="20"/>
  <c r="AY24" i="20"/>
  <c r="AQ24" i="20"/>
  <c r="AZ24" i="20"/>
  <c r="AV24" i="20"/>
  <c r="AS24" i="20"/>
  <c r="BD24" i="20"/>
  <c r="AR24" i="20"/>
  <c r="BA24" i="20"/>
  <c r="BD33" i="20"/>
  <c r="AQ8" i="20"/>
  <c r="AZ10" i="20"/>
  <c r="AS8" i="20"/>
  <c r="BB9" i="20"/>
  <c r="AT9" i="20"/>
  <c r="BA9" i="20"/>
  <c r="AS9" i="20"/>
  <c r="AY9" i="20"/>
  <c r="AQ9" i="20"/>
  <c r="AX9" i="20"/>
  <c r="AP9" i="20"/>
  <c r="BC9" i="20"/>
  <c r="AU9" i="20"/>
  <c r="AV12" i="20"/>
  <c r="BD30" i="20"/>
  <c r="AX34" i="20"/>
  <c r="AP34" i="20"/>
  <c r="BE34" i="20"/>
  <c r="AW34" i="20"/>
  <c r="BC34" i="20"/>
  <c r="AU34" i="20"/>
  <c r="BB34" i="20"/>
  <c r="AT34" i="20"/>
  <c r="BA34" i="20"/>
  <c r="AS34" i="20"/>
  <c r="AY34" i="20"/>
  <c r="AQ34" i="20"/>
  <c r="BA20" i="20"/>
  <c r="AS20" i="20"/>
  <c r="AZ20" i="20"/>
  <c r="AR20" i="20"/>
  <c r="AX20" i="20"/>
  <c r="AP20" i="20"/>
  <c r="BE20" i="20"/>
  <c r="AW20" i="20"/>
  <c r="BB20" i="20"/>
  <c r="AT20" i="20"/>
  <c r="AX10" i="20"/>
  <c r="AP10" i="20"/>
  <c r="BE10" i="20"/>
  <c r="AW10" i="20"/>
  <c r="BC10" i="20"/>
  <c r="AU10" i="20"/>
  <c r="BB10" i="20"/>
  <c r="AT10" i="20"/>
  <c r="AY10" i="20"/>
  <c r="AQ10" i="20"/>
  <c r="BA12" i="20"/>
  <c r="AX32" i="20"/>
  <c r="AP32" i="20"/>
  <c r="BE32" i="20"/>
  <c r="AW32" i="20"/>
  <c r="BC32" i="20"/>
  <c r="AU32" i="20"/>
  <c r="BB32" i="20"/>
  <c r="AT32" i="20"/>
  <c r="BA32" i="20"/>
  <c r="AS32" i="20"/>
  <c r="AY32" i="20"/>
  <c r="AQ32" i="20"/>
  <c r="AR33" i="20"/>
  <c r="AZ8" i="20"/>
  <c r="AR10" i="20"/>
  <c r="AU20" i="20"/>
  <c r="BB31" i="20"/>
  <c r="AT31" i="20"/>
  <c r="BA31" i="20"/>
  <c r="AS31" i="20"/>
  <c r="AY31" i="20"/>
  <c r="AQ31" i="20"/>
  <c r="AX31" i="20"/>
  <c r="AP31" i="20"/>
  <c r="BE31" i="20"/>
  <c r="AW31" i="20"/>
  <c r="BC31" i="20"/>
  <c r="AU31" i="20"/>
  <c r="AR32" i="20"/>
  <c r="AZ34" i="20"/>
  <c r="BB33" i="20"/>
  <c r="AT33" i="20"/>
  <c r="BA33" i="20"/>
  <c r="AS33" i="20"/>
  <c r="AY33" i="20"/>
  <c r="AQ33" i="20"/>
  <c r="AX33" i="20"/>
  <c r="AP33" i="20"/>
  <c r="BE33" i="20"/>
  <c r="AW33" i="20"/>
  <c r="BC33" i="20"/>
  <c r="AU33" i="20"/>
  <c r="AQ20" i="20"/>
  <c r="AX30" i="20"/>
  <c r="AP30" i="20"/>
  <c r="BE30" i="20"/>
  <c r="AW30" i="20"/>
  <c r="BC30" i="20"/>
  <c r="AU30" i="20"/>
  <c r="BB30" i="20"/>
  <c r="AT30" i="20"/>
  <c r="AY30" i="20"/>
  <c r="AQ30" i="20"/>
  <c r="BB11" i="20"/>
  <c r="AT11" i="20"/>
  <c r="BA11" i="20"/>
  <c r="AS11" i="20"/>
  <c r="AY11" i="20"/>
  <c r="AQ11" i="20"/>
  <c r="AX11" i="20"/>
  <c r="AP11" i="20"/>
  <c r="BC11" i="20"/>
  <c r="AU11" i="20"/>
  <c r="AW9" i="20"/>
  <c r="AS10" i="20"/>
  <c r="AV20" i="20"/>
  <c r="AS30" i="20"/>
  <c r="AR31" i="20"/>
  <c r="AV32" i="20"/>
  <c r="AZ33" i="20"/>
  <c r="BD34" i="20"/>
  <c r="AX12" i="20"/>
  <c r="AP12" i="20"/>
  <c r="BE12" i="20"/>
  <c r="AW12" i="20"/>
  <c r="BC12" i="20"/>
  <c r="AU12" i="20"/>
  <c r="BB12" i="20"/>
  <c r="AT12" i="20"/>
  <c r="AY12" i="20"/>
  <c r="AQ12" i="20"/>
  <c r="AM13" i="20"/>
  <c r="K13" i="20"/>
  <c r="AR12" i="20"/>
  <c r="AM15" i="20"/>
  <c r="AZ30" i="20"/>
  <c r="BD32" i="20"/>
  <c r="AX8" i="20"/>
  <c r="AP8" i="20"/>
  <c r="AW8" i="20"/>
  <c r="BE8" i="20"/>
  <c r="BC8" i="20"/>
  <c r="AU8" i="20"/>
  <c r="BB8" i="20"/>
  <c r="AT8" i="20"/>
  <c r="BD8" i="20"/>
  <c r="AV10" i="20"/>
  <c r="AV30" i="20"/>
  <c r="BC20" i="20"/>
  <c r="E36" i="20"/>
  <c r="E37" i="20" s="1"/>
  <c r="AR8" i="20"/>
  <c r="BE9" i="20"/>
  <c r="BA10" i="20"/>
  <c r="AW11" i="20"/>
  <c r="AS12" i="20"/>
  <c r="BD20" i="20"/>
  <c r="BA30" i="20"/>
  <c r="BD31" i="20"/>
  <c r="BB35" i="20"/>
  <c r="AT35" i="20"/>
  <c r="BA35" i="20"/>
  <c r="AS35" i="20"/>
  <c r="AY35" i="20"/>
  <c r="AQ35" i="20"/>
  <c r="AX35" i="20"/>
  <c r="AP35" i="20"/>
  <c r="BE35" i="20"/>
  <c r="AW35" i="20"/>
  <c r="BC35" i="20"/>
  <c r="AU35" i="20"/>
  <c r="AV16" i="20"/>
  <c r="BD16" i="20"/>
  <c r="AR17" i="20"/>
  <c r="AZ17" i="20"/>
  <c r="AV26" i="20"/>
  <c r="BD26" i="20"/>
  <c r="AR27" i="20"/>
  <c r="AZ27" i="20"/>
  <c r="AW28" i="20"/>
  <c r="BE28" i="20"/>
  <c r="AR14" i="20"/>
  <c r="AZ14" i="20"/>
  <c r="AQ16" i="20"/>
  <c r="AY16" i="20"/>
  <c r="AU17" i="20"/>
  <c r="BC17" i="20"/>
  <c r="AS19" i="20"/>
  <c r="BA19" i="20"/>
  <c r="AR21" i="20"/>
  <c r="AZ21" i="20"/>
  <c r="AS22" i="20"/>
  <c r="BA22" i="20"/>
  <c r="AU23" i="20"/>
  <c r="BC23" i="20"/>
  <c r="AQ26" i="20"/>
  <c r="AY26" i="20"/>
  <c r="AU27" i="20"/>
  <c r="BC27" i="20"/>
  <c r="AR28" i="20"/>
  <c r="AZ28" i="20"/>
  <c r="AR16" i="20"/>
  <c r="AZ16" i="20"/>
  <c r="AV17" i="20"/>
  <c r="BD17" i="20"/>
  <c r="AV23" i="20"/>
  <c r="BD23" i="20"/>
  <c r="AR26" i="20"/>
  <c r="AZ26" i="20"/>
  <c r="AV27" i="20"/>
  <c r="BD27" i="20"/>
  <c r="AS28" i="20"/>
  <c r="BA28" i="20"/>
  <c r="AT16" i="20"/>
  <c r="BB16" i="20"/>
  <c r="AP17" i="20"/>
  <c r="AX17" i="20"/>
  <c r="AV19" i="20"/>
  <c r="BD19" i="20"/>
  <c r="AV22" i="20"/>
  <c r="BD22" i="20"/>
  <c r="AP23" i="20"/>
  <c r="AX23" i="20"/>
  <c r="AT26" i="20"/>
  <c r="BB26" i="20"/>
  <c r="AP27" i="20"/>
  <c r="AX27" i="20"/>
  <c r="AU28" i="20"/>
  <c r="BC28" i="20"/>
  <c r="AV14" i="20"/>
  <c r="AU16" i="20"/>
  <c r="AQ17" i="20"/>
  <c r="AW19" i="20"/>
  <c r="AV21" i="20"/>
  <c r="AW22" i="20"/>
  <c r="AQ23" i="20"/>
  <c r="AU26" i="20"/>
  <c r="AQ27" i="20"/>
  <c r="AV28" i="20"/>
  <c r="H39" i="18"/>
  <c r="AO10" i="22" l="1"/>
  <c r="AO16" i="22"/>
  <c r="AO30" i="22"/>
  <c r="AO8" i="22"/>
  <c r="AO26" i="22"/>
  <c r="AO12" i="22"/>
  <c r="AO22" i="22"/>
  <c r="AO23" i="22"/>
  <c r="AO11" i="22"/>
  <c r="AO28" i="22"/>
  <c r="AO21" i="22"/>
  <c r="AO17" i="22"/>
  <c r="AM15" i="22"/>
  <c r="AM1" i="22" s="1"/>
  <c r="AO19" i="22"/>
  <c r="AO9" i="22"/>
  <c r="AO29" i="22"/>
  <c r="AO27" i="22"/>
  <c r="AO31" i="22"/>
  <c r="AO14" i="22"/>
  <c r="AO20" i="22"/>
  <c r="AO22" i="20"/>
  <c r="AO21" i="20"/>
  <c r="AO28" i="20"/>
  <c r="AO23" i="20"/>
  <c r="AO14" i="20"/>
  <c r="AO19" i="20"/>
  <c r="AO26" i="20"/>
  <c r="AO10" i="20"/>
  <c r="AO20" i="20"/>
  <c r="AO9" i="20"/>
  <c r="AO30" i="20"/>
  <c r="AO16" i="20"/>
  <c r="AO31" i="20"/>
  <c r="AO18" i="20"/>
  <c r="AO29" i="20"/>
  <c r="AO17" i="20"/>
  <c r="AO8" i="20"/>
  <c r="AO12" i="20"/>
  <c r="AO11" i="20"/>
  <c r="AO24" i="20"/>
  <c r="AO27" i="20"/>
  <c r="AM25" i="20"/>
  <c r="AM1" i="20" s="1"/>
  <c r="K1" i="20"/>
  <c r="AN16" i="22"/>
  <c r="AN19" i="22"/>
  <c r="AN22" i="22"/>
  <c r="AN17" i="22"/>
  <c r="AN9" i="22"/>
  <c r="AN33" i="22"/>
  <c r="AN27" i="22"/>
  <c r="AN32" i="22"/>
  <c r="AZ13" i="22"/>
  <c r="AR13" i="22"/>
  <c r="AY13" i="22"/>
  <c r="AQ13" i="22"/>
  <c r="AX13" i="22"/>
  <c r="AP13" i="22"/>
  <c r="BE13" i="22"/>
  <c r="AW13" i="22"/>
  <c r="BD13" i="22"/>
  <c r="AV13" i="22"/>
  <c r="BC13" i="22"/>
  <c r="AU13" i="22"/>
  <c r="BA13" i="22"/>
  <c r="AS13" i="22"/>
  <c r="BB13" i="22"/>
  <c r="AT13" i="22"/>
  <c r="AX15" i="22"/>
  <c r="AP15" i="22"/>
  <c r="BE15" i="22"/>
  <c r="AW15" i="22"/>
  <c r="BD15" i="22"/>
  <c r="AV15" i="22"/>
  <c r="BC15" i="22"/>
  <c r="AU15" i="22"/>
  <c r="BB15" i="22"/>
  <c r="AT15" i="22"/>
  <c r="BA15" i="22"/>
  <c r="AS15" i="22"/>
  <c r="AY15" i="22"/>
  <c r="AQ15" i="22"/>
  <c r="AZ15" i="22"/>
  <c r="AR15" i="22"/>
  <c r="AN23" i="22"/>
  <c r="AP25" i="22"/>
  <c r="BE25" i="22"/>
  <c r="AW25" i="22"/>
  <c r="BD25" i="22"/>
  <c r="AV25" i="22"/>
  <c r="BC25" i="22"/>
  <c r="AU25" i="22"/>
  <c r="BB25" i="22"/>
  <c r="AT25" i="22"/>
  <c r="BA25" i="22"/>
  <c r="AY25" i="22"/>
  <c r="AQ25" i="22"/>
  <c r="AR25" i="22"/>
  <c r="AZ25" i="22"/>
  <c r="AN31" i="22"/>
  <c r="AN28" i="22"/>
  <c r="K15" i="22"/>
  <c r="K1" i="22" s="1"/>
  <c r="AN26" i="22"/>
  <c r="AN12" i="22"/>
  <c r="AX24" i="22"/>
  <c r="AP24" i="22"/>
  <c r="BE24" i="22"/>
  <c r="AW24" i="22"/>
  <c r="BD24" i="22"/>
  <c r="AV24" i="22"/>
  <c r="BC24" i="22"/>
  <c r="AU24" i="22"/>
  <c r="BB24" i="22"/>
  <c r="AT24" i="22"/>
  <c r="BA24" i="22"/>
  <c r="AS24" i="22"/>
  <c r="AY24" i="22"/>
  <c r="AQ24" i="22"/>
  <c r="AZ24" i="22"/>
  <c r="AR24" i="22"/>
  <c r="AN11" i="22"/>
  <c r="AN8" i="22"/>
  <c r="BA18" i="22"/>
  <c r="AS18" i="22"/>
  <c r="AZ18" i="22"/>
  <c r="AR18" i="22"/>
  <c r="AY18" i="22"/>
  <c r="AQ18" i="22"/>
  <c r="AX18" i="22"/>
  <c r="AP18" i="22"/>
  <c r="BE18" i="22"/>
  <c r="AW18" i="22"/>
  <c r="BD18" i="22"/>
  <c r="AV18" i="22"/>
  <c r="BB18" i="22"/>
  <c r="AT18" i="22"/>
  <c r="BC18" i="22"/>
  <c r="AU18" i="22"/>
  <c r="AN35" i="22"/>
  <c r="AN21" i="22"/>
  <c r="AN14" i="22"/>
  <c r="AN34" i="22"/>
  <c r="AN30" i="22"/>
  <c r="AN10" i="22"/>
  <c r="AN29" i="22"/>
  <c r="AN14" i="20"/>
  <c r="AN18" i="20"/>
  <c r="AN28" i="20"/>
  <c r="AN21" i="20"/>
  <c r="AN17" i="20"/>
  <c r="AN22" i="20"/>
  <c r="AN19" i="20"/>
  <c r="AN16" i="20"/>
  <c r="AN12" i="20"/>
  <c r="AN35" i="20"/>
  <c r="AX15" i="20"/>
  <c r="AP15" i="20"/>
  <c r="BE15" i="20"/>
  <c r="AW15" i="20"/>
  <c r="BC15" i="20"/>
  <c r="AU15" i="20"/>
  <c r="BB15" i="20"/>
  <c r="AT15" i="20"/>
  <c r="AY15" i="20"/>
  <c r="AQ15" i="20"/>
  <c r="AR15" i="20"/>
  <c r="BD15" i="20"/>
  <c r="AV15" i="20"/>
  <c r="BA15" i="20"/>
  <c r="AZ15" i="20"/>
  <c r="AS15" i="20"/>
  <c r="AN10" i="20"/>
  <c r="AN9" i="20"/>
  <c r="AN8" i="20"/>
  <c r="AN23" i="20"/>
  <c r="AN26" i="20"/>
  <c r="AN31" i="20"/>
  <c r="AN24" i="20"/>
  <c r="AN27" i="20"/>
  <c r="AN30" i="20"/>
  <c r="AN34" i="20"/>
  <c r="AN33" i="20"/>
  <c r="AN32" i="20"/>
  <c r="AN29" i="20"/>
  <c r="AZ13" i="20"/>
  <c r="AR13" i="20"/>
  <c r="AY13" i="20"/>
  <c r="AQ13" i="20"/>
  <c r="BE13" i="20"/>
  <c r="AW13" i="20"/>
  <c r="BD13" i="20"/>
  <c r="AV13" i="20"/>
  <c r="BA13" i="20"/>
  <c r="AS13" i="20"/>
  <c r="AP13" i="20"/>
  <c r="AU13" i="20"/>
  <c r="BC13" i="20"/>
  <c r="BB13" i="20"/>
  <c r="AX13" i="20"/>
  <c r="AT13" i="20"/>
  <c r="AN11" i="20"/>
  <c r="AN20" i="20"/>
  <c r="AN29" i="18"/>
  <c r="AQ29" i="18"/>
  <c r="AO7" i="18"/>
  <c r="AO6" i="18"/>
  <c r="AO5" i="18"/>
  <c r="AQ35" i="18"/>
  <c r="AQ34" i="18"/>
  <c r="AQ33" i="18"/>
  <c r="AQ32" i="18"/>
  <c r="AQ31" i="18"/>
  <c r="AQ30" i="18"/>
  <c r="AQ28" i="18"/>
  <c r="AQ27" i="18"/>
  <c r="AQ26" i="18"/>
  <c r="AQ24" i="18"/>
  <c r="AQ23" i="18"/>
  <c r="AQ22" i="18"/>
  <c r="AQ21" i="18"/>
  <c r="AQ20" i="18"/>
  <c r="AQ19" i="18"/>
  <c r="AQ18" i="18"/>
  <c r="AQ17" i="18"/>
  <c r="AQ16" i="18"/>
  <c r="AQ14" i="18"/>
  <c r="AQ13" i="18"/>
  <c r="AQ12" i="18"/>
  <c r="AQ11" i="18"/>
  <c r="AQ10" i="18"/>
  <c r="AQ9" i="18"/>
  <c r="AQ8" i="18"/>
  <c r="AN25" i="18"/>
  <c r="BB25" i="18" s="1"/>
  <c r="AN24" i="18"/>
  <c r="AZ24" i="18" s="1"/>
  <c r="AN23" i="18"/>
  <c r="AZ23" i="18" s="1"/>
  <c r="AN21" i="18"/>
  <c r="BB21" i="18" s="1"/>
  <c r="AN20" i="18"/>
  <c r="AN19" i="18"/>
  <c r="BA35" i="18"/>
  <c r="AY35" i="18"/>
  <c r="BA27" i="18"/>
  <c r="AY27" i="18"/>
  <c r="BF25" i="18"/>
  <c r="BE25" i="18"/>
  <c r="AZ25" i="18"/>
  <c r="AX25" i="18"/>
  <c r="AW25" i="18"/>
  <c r="BF24" i="18"/>
  <c r="BE24" i="18"/>
  <c r="BD24" i="18"/>
  <c r="BC24" i="18"/>
  <c r="BB24" i="18"/>
  <c r="BA24" i="18"/>
  <c r="AX24" i="18"/>
  <c r="AW24" i="18"/>
  <c r="AV24" i="18"/>
  <c r="AU24" i="18"/>
  <c r="AT24" i="18"/>
  <c r="AS24" i="18"/>
  <c r="BF23" i="18"/>
  <c r="BE23" i="18"/>
  <c r="BC23" i="18"/>
  <c r="BB23" i="18"/>
  <c r="BA23" i="18"/>
  <c r="AY23" i="18"/>
  <c r="AX23" i="18"/>
  <c r="AW23" i="18"/>
  <c r="AU23" i="18"/>
  <c r="AT23" i="18"/>
  <c r="AS23" i="18"/>
  <c r="BF21" i="18"/>
  <c r="BE21" i="18"/>
  <c r="BD21" i="18"/>
  <c r="BC21" i="18"/>
  <c r="AX21" i="18"/>
  <c r="AW21" i="18"/>
  <c r="AV21" i="18"/>
  <c r="AU21" i="18"/>
  <c r="BF20" i="18"/>
  <c r="BE20" i="18"/>
  <c r="BD20" i="18"/>
  <c r="BC20" i="18"/>
  <c r="BB20" i="18"/>
  <c r="BA20" i="18"/>
  <c r="AZ20" i="18"/>
  <c r="AY20" i="18"/>
  <c r="AX20" i="18"/>
  <c r="AW20" i="18"/>
  <c r="AV20" i="18"/>
  <c r="AU20" i="18"/>
  <c r="AT20" i="18"/>
  <c r="AS20" i="18"/>
  <c r="BF19" i="18"/>
  <c r="BE19" i="18"/>
  <c r="BD19" i="18"/>
  <c r="BC19" i="18"/>
  <c r="BB19" i="18"/>
  <c r="BA19" i="18"/>
  <c r="AZ19" i="18"/>
  <c r="AY19" i="18"/>
  <c r="AX19" i="18"/>
  <c r="AW19" i="18"/>
  <c r="AV19" i="18"/>
  <c r="AU19" i="18"/>
  <c r="AT19" i="18"/>
  <c r="AS19" i="18"/>
  <c r="BC18" i="18"/>
  <c r="AU18" i="18"/>
  <c r="BA13" i="18"/>
  <c r="AS13" i="18"/>
  <c r="BB12" i="18"/>
  <c r="BA12" i="18"/>
  <c r="AX12" i="18"/>
  <c r="AW12" i="18"/>
  <c r="AT12" i="18"/>
  <c r="BC11" i="18"/>
  <c r="AY11" i="18"/>
  <c r="AW11" i="18"/>
  <c r="AV11" i="18"/>
  <c r="AU10" i="18"/>
  <c r="AT10" i="18"/>
  <c r="AS9" i="18"/>
  <c r="BF8" i="18"/>
  <c r="BE8" i="18"/>
  <c r="BD8" i="18"/>
  <c r="BC8" i="18"/>
  <c r="BB8" i="18"/>
  <c r="BA8" i="18"/>
  <c r="AZ8" i="18"/>
  <c r="AY8" i="18"/>
  <c r="AX8" i="18"/>
  <c r="AW8" i="18"/>
  <c r="AV8" i="18"/>
  <c r="AU8" i="18"/>
  <c r="AT8" i="18"/>
  <c r="AS8" i="18"/>
  <c r="AR24" i="18"/>
  <c r="AR23" i="18"/>
  <c r="AR21" i="18"/>
  <c r="AR20" i="18"/>
  <c r="AR19" i="18"/>
  <c r="AR18" i="18"/>
  <c r="AR12" i="18"/>
  <c r="AR10" i="18"/>
  <c r="AR8" i="18"/>
  <c r="AN35" i="18"/>
  <c r="BF35" i="18" s="1"/>
  <c r="AN34" i="18"/>
  <c r="BD34" i="18" s="1"/>
  <c r="AN33" i="18"/>
  <c r="BB33" i="18" s="1"/>
  <c r="AN32" i="18"/>
  <c r="AZ32" i="18" s="1"/>
  <c r="AN31" i="18"/>
  <c r="BF31" i="18" s="1"/>
  <c r="AN30" i="18"/>
  <c r="BD30" i="18" s="1"/>
  <c r="BB29" i="18"/>
  <c r="AN28" i="18"/>
  <c r="AZ28" i="18" s="1"/>
  <c r="AN27" i="18"/>
  <c r="BF27" i="18" s="1"/>
  <c r="AN26" i="18"/>
  <c r="BD26" i="18" s="1"/>
  <c r="AN22" i="18"/>
  <c r="AZ22" i="18" s="1"/>
  <c r="AN18" i="18"/>
  <c r="BB18" i="18" s="1"/>
  <c r="AN17" i="18"/>
  <c r="BF17" i="18" s="1"/>
  <c r="AN16" i="18"/>
  <c r="BF16" i="18" s="1"/>
  <c r="AN14" i="18"/>
  <c r="BB14" i="18" s="1"/>
  <c r="AN13" i="18"/>
  <c r="AZ13" i="18" s="1"/>
  <c r="AN12" i="18"/>
  <c r="BD12" i="18" s="1"/>
  <c r="AN11" i="18"/>
  <c r="BB11" i="18" s="1"/>
  <c r="AN10" i="18"/>
  <c r="AZ10" i="18" s="1"/>
  <c r="AN9" i="18"/>
  <c r="AZ9" i="18" s="1"/>
  <c r="AN8" i="18"/>
  <c r="AO24" i="22" l="1"/>
  <c r="AO25" i="22"/>
  <c r="AO15" i="22"/>
  <c r="AO13" i="22"/>
  <c r="AO18" i="22"/>
  <c r="AO13" i="20"/>
  <c r="AO15" i="20"/>
  <c r="AW25" i="20"/>
  <c r="AX25" i="20"/>
  <c r="AV25" i="20"/>
  <c r="AS25" i="20"/>
  <c r="AU25" i="20"/>
  <c r="AT25" i="20"/>
  <c r="BB25" i="20"/>
  <c r="BB36" i="20" s="1"/>
  <c r="BB38" i="20" s="1"/>
  <c r="AY25" i="20"/>
  <c r="AY36" i="20" s="1"/>
  <c r="AY38" i="20" s="1"/>
  <c r="AQ25" i="20"/>
  <c r="AQ36" i="20" s="1"/>
  <c r="AQ38" i="20" s="1"/>
  <c r="BD25" i="20"/>
  <c r="BD36" i="20" s="1"/>
  <c r="BD38" i="20" s="1"/>
  <c r="BA25" i="20"/>
  <c r="BA36" i="20" s="1"/>
  <c r="BA38" i="20" s="1"/>
  <c r="AP25" i="20"/>
  <c r="AP36" i="20" s="1"/>
  <c r="AP38" i="20" s="1"/>
  <c r="AZ25" i="20"/>
  <c r="AZ36" i="20" s="1"/>
  <c r="AZ38" i="20" s="1"/>
  <c r="BE25" i="20"/>
  <c r="BE36" i="20" s="1"/>
  <c r="BE38" i="20" s="1"/>
  <c r="AR25" i="20"/>
  <c r="AR36" i="20" s="1"/>
  <c r="AR38" i="20" s="1"/>
  <c r="BC25" i="20"/>
  <c r="BC36" i="20" s="1"/>
  <c r="BC38" i="20" s="1"/>
  <c r="AP19" i="18"/>
  <c r="AP20" i="18"/>
  <c r="AP8" i="18"/>
  <c r="AQ36" i="22"/>
  <c r="AQ38" i="22" s="1"/>
  <c r="AP36" i="22"/>
  <c r="AP38" i="22" s="1"/>
  <c r="AV36" i="22"/>
  <c r="AV38" i="22" s="1"/>
  <c r="AZ36" i="22"/>
  <c r="AZ38" i="22" s="1"/>
  <c r="AT36" i="22"/>
  <c r="AT38" i="22" s="1"/>
  <c r="BE36" i="22"/>
  <c r="BE38" i="22" s="1"/>
  <c r="BC36" i="22"/>
  <c r="BC38" i="22" s="1"/>
  <c r="AX36" i="22"/>
  <c r="AX38" i="22" s="1"/>
  <c r="AS36" i="22"/>
  <c r="AS38" i="22" s="1"/>
  <c r="AY36" i="22"/>
  <c r="AY38" i="22" s="1"/>
  <c r="BA36" i="22"/>
  <c r="BA38" i="22" s="1"/>
  <c r="BB36" i="22"/>
  <c r="BB38" i="22" s="1"/>
  <c r="AR36" i="22"/>
  <c r="AR38" i="22" s="1"/>
  <c r="AU36" i="22"/>
  <c r="AU38" i="22" s="1"/>
  <c r="AN13" i="22"/>
  <c r="AN18" i="22"/>
  <c r="BD36" i="22"/>
  <c r="BD38" i="22" s="1"/>
  <c r="AW36" i="22"/>
  <c r="AW38" i="22" s="1"/>
  <c r="AN24" i="22"/>
  <c r="AN15" i="22"/>
  <c r="AN25" i="22"/>
  <c r="AN15" i="20"/>
  <c r="AN13" i="20"/>
  <c r="AO19" i="18"/>
  <c r="AO8" i="18"/>
  <c r="AO20" i="18"/>
  <c r="AW10" i="18"/>
  <c r="AU14" i="18"/>
  <c r="AS17" i="18"/>
  <c r="BE26" i="18"/>
  <c r="AW33" i="18"/>
  <c r="AR17" i="18"/>
  <c r="AR26" i="18"/>
  <c r="BA10" i="18"/>
  <c r="AZ11" i="18"/>
  <c r="AY12" i="18"/>
  <c r="BC14" i="18"/>
  <c r="AU17" i="18"/>
  <c r="AS27" i="18"/>
  <c r="BE33" i="18"/>
  <c r="AY17" i="18"/>
  <c r="AW34" i="18"/>
  <c r="AR33" i="18"/>
  <c r="BB10" i="18"/>
  <c r="AZ17" i="18"/>
  <c r="AR34" i="18"/>
  <c r="BA9" i="18"/>
  <c r="BE10" i="18"/>
  <c r="BE11" i="18"/>
  <c r="BE12" i="18"/>
  <c r="BA17" i="18"/>
  <c r="AS22" i="18"/>
  <c r="AS31" i="18"/>
  <c r="BE34" i="18"/>
  <c r="BC10" i="18"/>
  <c r="BD11" i="18"/>
  <c r="AY34" i="18"/>
  <c r="AS10" i="18"/>
  <c r="AU11" i="18"/>
  <c r="AS12" i="18"/>
  <c r="BF12" i="18"/>
  <c r="BC17" i="18"/>
  <c r="AU22" i="18"/>
  <c r="AY31" i="18"/>
  <c r="AS35" i="18"/>
  <c r="BA22" i="18"/>
  <c r="AW26" i="18"/>
  <c r="BA31" i="18"/>
  <c r="BC22" i="18"/>
  <c r="AY26" i="18"/>
  <c r="AU33" i="18"/>
  <c r="AS28" i="18"/>
  <c r="BA28" i="18"/>
  <c r="AU29" i="18"/>
  <c r="BC29" i="18"/>
  <c r="AW30" i="18"/>
  <c r="BE30" i="18"/>
  <c r="AS32" i="18"/>
  <c r="BA32" i="18"/>
  <c r="BC33" i="18"/>
  <c r="AR11" i="18"/>
  <c r="AR27" i="18"/>
  <c r="AR35" i="18"/>
  <c r="AT9" i="18"/>
  <c r="BB9" i="18"/>
  <c r="AV10" i="18"/>
  <c r="BD10" i="18"/>
  <c r="AX11" i="18"/>
  <c r="BF11" i="18"/>
  <c r="AZ12" i="18"/>
  <c r="AT13" i="18"/>
  <c r="BB13" i="18"/>
  <c r="AV14" i="18"/>
  <c r="BD14" i="18"/>
  <c r="AZ16" i="18"/>
  <c r="AT17" i="18"/>
  <c r="BB17" i="18"/>
  <c r="AV18" i="18"/>
  <c r="BD18" i="18"/>
  <c r="AT22" i="18"/>
  <c r="BB22" i="18"/>
  <c r="AX26" i="18"/>
  <c r="BF26" i="18"/>
  <c r="AZ27" i="18"/>
  <c r="AT28" i="18"/>
  <c r="BB28" i="18"/>
  <c r="AV29" i="18"/>
  <c r="BD29" i="18"/>
  <c r="AX30" i="18"/>
  <c r="BF30" i="18"/>
  <c r="AZ31" i="18"/>
  <c r="AT32" i="18"/>
  <c r="BB32" i="18"/>
  <c r="AV33" i="18"/>
  <c r="BD33" i="18"/>
  <c r="AX34" i="18"/>
  <c r="BF34" i="18"/>
  <c r="AZ35" i="18"/>
  <c r="AV13" i="18"/>
  <c r="BD13" i="18"/>
  <c r="AT16" i="18"/>
  <c r="BB16" i="18"/>
  <c r="AV17" i="18"/>
  <c r="BD17" i="18"/>
  <c r="AX18" i="18"/>
  <c r="BF18" i="18"/>
  <c r="AV22" i="18"/>
  <c r="BD22" i="18"/>
  <c r="AZ26" i="18"/>
  <c r="AT27" i="18"/>
  <c r="BB27" i="18"/>
  <c r="AV28" i="18"/>
  <c r="BD28" i="18"/>
  <c r="AX29" i="18"/>
  <c r="BF29" i="18"/>
  <c r="AZ30" i="18"/>
  <c r="AT31" i="18"/>
  <c r="BB31" i="18"/>
  <c r="AV32" i="18"/>
  <c r="BD32" i="18"/>
  <c r="AX33" i="18"/>
  <c r="BF33" i="18"/>
  <c r="AZ34" i="18"/>
  <c r="AT35" i="18"/>
  <c r="BB35" i="18"/>
  <c r="AY16" i="18"/>
  <c r="BA16" i="18"/>
  <c r="AU28" i="18"/>
  <c r="BE29" i="18"/>
  <c r="BC32" i="18"/>
  <c r="AR13" i="18"/>
  <c r="AX10" i="18"/>
  <c r="AX14" i="18"/>
  <c r="AR14" i="18"/>
  <c r="AR22" i="18"/>
  <c r="AR30" i="18"/>
  <c r="AW9" i="18"/>
  <c r="BE9" i="18"/>
  <c r="AY10" i="18"/>
  <c r="AS11" i="18"/>
  <c r="BA11" i="18"/>
  <c r="AU12" i="18"/>
  <c r="BC12" i="18"/>
  <c r="AW13" i="18"/>
  <c r="BE13" i="18"/>
  <c r="AY14" i="18"/>
  <c r="AU16" i="18"/>
  <c r="BC16" i="18"/>
  <c r="AW17" i="18"/>
  <c r="BE17" i="18"/>
  <c r="AY18" i="18"/>
  <c r="AW22" i="18"/>
  <c r="BE22" i="18"/>
  <c r="AS26" i="18"/>
  <c r="BA26" i="18"/>
  <c r="AU27" i="18"/>
  <c r="BC27" i="18"/>
  <c r="AW28" i="18"/>
  <c r="BE28" i="18"/>
  <c r="AY29" i="18"/>
  <c r="AS30" i="18"/>
  <c r="BA30" i="18"/>
  <c r="AU31" i="18"/>
  <c r="BC31" i="18"/>
  <c r="AW32" i="18"/>
  <c r="BE32" i="18"/>
  <c r="AY33" i="18"/>
  <c r="AS34" i="18"/>
  <c r="BA34" i="18"/>
  <c r="AU35" i="18"/>
  <c r="BC35" i="18"/>
  <c r="AU9" i="18"/>
  <c r="BC9" i="18"/>
  <c r="AU13" i="18"/>
  <c r="BC13" i="18"/>
  <c r="AW14" i="18"/>
  <c r="BE14" i="18"/>
  <c r="AS16" i="18"/>
  <c r="AW18" i="18"/>
  <c r="BE18" i="18"/>
  <c r="BC28" i="18"/>
  <c r="AW29" i="18"/>
  <c r="AY30" i="18"/>
  <c r="AU32" i="18"/>
  <c r="AV9" i="18"/>
  <c r="BD9" i="18"/>
  <c r="BF10" i="18"/>
  <c r="BF14" i="18"/>
  <c r="AR31" i="18"/>
  <c r="AX9" i="18"/>
  <c r="BF9" i="18"/>
  <c r="AT11" i="18"/>
  <c r="AV12" i="18"/>
  <c r="AX13" i="18"/>
  <c r="BF13" i="18"/>
  <c r="AZ14" i="18"/>
  <c r="AV16" i="18"/>
  <c r="BD16" i="18"/>
  <c r="AX17" i="18"/>
  <c r="AZ18" i="18"/>
  <c r="AX22" i="18"/>
  <c r="BF22" i="18"/>
  <c r="AT26" i="18"/>
  <c r="BB26" i="18"/>
  <c r="AV27" i="18"/>
  <c r="BD27" i="18"/>
  <c r="AX28" i="18"/>
  <c r="BF28" i="18"/>
  <c r="AZ29" i="18"/>
  <c r="AT30" i="18"/>
  <c r="BB30" i="18"/>
  <c r="AV31" i="18"/>
  <c r="BD31" i="18"/>
  <c r="AX32" i="18"/>
  <c r="BF32" i="18"/>
  <c r="AZ33" i="18"/>
  <c r="AT34" i="18"/>
  <c r="BB34" i="18"/>
  <c r="AV35" i="18"/>
  <c r="BD35" i="18"/>
  <c r="AR16" i="18"/>
  <c r="AR32" i="18"/>
  <c r="AY9" i="18"/>
  <c r="AY13" i="18"/>
  <c r="AS14" i="18"/>
  <c r="BA14" i="18"/>
  <c r="AW16" i="18"/>
  <c r="BE16" i="18"/>
  <c r="AS18" i="18"/>
  <c r="BA18" i="18"/>
  <c r="AY22" i="18"/>
  <c r="AU26" i="18"/>
  <c r="BC26" i="18"/>
  <c r="AW27" i="18"/>
  <c r="BE27" i="18"/>
  <c r="AY28" i="18"/>
  <c r="BA29" i="18"/>
  <c r="AU30" i="18"/>
  <c r="BC30" i="18"/>
  <c r="AW31" i="18"/>
  <c r="BE31" i="18"/>
  <c r="AY32" i="18"/>
  <c r="AS33" i="18"/>
  <c r="BA33" i="18"/>
  <c r="AU34" i="18"/>
  <c r="BC34" i="18"/>
  <c r="AW35" i="18"/>
  <c r="BE35" i="18"/>
  <c r="AR9" i="18"/>
  <c r="AT14" i="18"/>
  <c r="AX16" i="18"/>
  <c r="AT18" i="18"/>
  <c r="AV26" i="18"/>
  <c r="AX27" i="18"/>
  <c r="AT29" i="18"/>
  <c r="AV30" i="18"/>
  <c r="AX31" i="18"/>
  <c r="AT33" i="18"/>
  <c r="AV34" i="18"/>
  <c r="AX35" i="18"/>
  <c r="BA25" i="18"/>
  <c r="AU25" i="18"/>
  <c r="BC25" i="18"/>
  <c r="AV25" i="18"/>
  <c r="BD25" i="18"/>
  <c r="AY24" i="18"/>
  <c r="AO24" i="18" s="1"/>
  <c r="AV23" i="18"/>
  <c r="BD23" i="18"/>
  <c r="AY21" i="18"/>
  <c r="AZ21" i="18"/>
  <c r="AS21" i="18"/>
  <c r="BA21" i="18"/>
  <c r="AT21" i="18"/>
  <c r="AG29" i="18"/>
  <c r="AG25" i="18"/>
  <c r="AH23" i="18"/>
  <c r="AG23" i="18"/>
  <c r="AN6" i="18"/>
  <c r="AN7" i="18"/>
  <c r="AN5" i="18"/>
  <c r="AO1" i="22" l="1"/>
  <c r="AO25" i="20"/>
  <c r="AO1" i="20" s="1"/>
  <c r="AP21" i="18"/>
  <c r="AP23" i="18"/>
  <c r="AP11" i="18"/>
  <c r="AP10" i="18"/>
  <c r="AP18" i="18"/>
  <c r="AP26" i="18"/>
  <c r="AP28" i="18"/>
  <c r="AP14" i="18"/>
  <c r="AP30" i="18"/>
  <c r="AP9" i="18"/>
  <c r="AP27" i="18"/>
  <c r="AP13" i="18"/>
  <c r="AP31" i="18"/>
  <c r="AP16" i="18"/>
  <c r="AP22" i="18"/>
  <c r="AP12" i="18"/>
  <c r="AP29" i="18"/>
  <c r="AP17" i="18"/>
  <c r="AP25" i="18"/>
  <c r="AP24" i="18"/>
  <c r="AN1" i="22"/>
  <c r="AN36" i="22" s="1"/>
  <c r="AO25" i="18"/>
  <c r="AO18" i="18"/>
  <c r="AO16" i="18"/>
  <c r="AO10" i="18"/>
  <c r="AO23" i="18"/>
  <c r="AO21" i="18"/>
  <c r="AO30" i="18"/>
  <c r="AO12" i="18"/>
  <c r="AO34" i="18"/>
  <c r="AO29" i="18"/>
  <c r="AO32" i="18"/>
  <c r="AO22" i="18"/>
  <c r="AO35" i="18"/>
  <c r="AO33" i="18"/>
  <c r="AO11" i="18"/>
  <c r="AO26" i="18"/>
  <c r="AO28" i="18"/>
  <c r="AO17" i="18"/>
  <c r="AO31" i="18"/>
  <c r="AO14" i="18"/>
  <c r="AO27" i="18"/>
  <c r="AO9" i="18"/>
  <c r="AO13" i="18"/>
  <c r="AE31" i="18"/>
  <c r="AE29" i="18"/>
  <c r="AD29" i="18"/>
  <c r="AE25" i="18"/>
  <c r="AD25" i="18"/>
  <c r="AC25" i="18"/>
  <c r="W18" i="18"/>
  <c r="AB18" i="18"/>
  <c r="K18" i="18" s="1"/>
  <c r="W15" i="18"/>
  <c r="H40" i="18"/>
  <c r="S15" i="18"/>
  <c r="Z13" i="18"/>
  <c r="V13" i="18"/>
  <c r="K13" i="18" s="1"/>
  <c r="AA29" i="18"/>
  <c r="W29" i="18"/>
  <c r="K29" i="18" s="1"/>
  <c r="S29" i="18"/>
  <c r="Z24" i="18"/>
  <c r="X24" i="18"/>
  <c r="V24" i="18"/>
  <c r="T24" i="18"/>
  <c r="R24" i="18"/>
  <c r="G22" i="18"/>
  <c r="F22" i="18"/>
  <c r="H22" i="18"/>
  <c r="H21" i="18"/>
  <c r="K35" i="18"/>
  <c r="K34" i="18"/>
  <c r="K33" i="18"/>
  <c r="K32" i="18"/>
  <c r="K31" i="18"/>
  <c r="K30" i="18"/>
  <c r="K28" i="18"/>
  <c r="K27" i="18"/>
  <c r="K26" i="18"/>
  <c r="K25" i="18"/>
  <c r="K23" i="18"/>
  <c r="K22" i="18"/>
  <c r="K21" i="18"/>
  <c r="K20" i="18"/>
  <c r="K19" i="18"/>
  <c r="K17" i="18"/>
  <c r="K16" i="18"/>
  <c r="K14" i="18"/>
  <c r="K12" i="18"/>
  <c r="K11" i="18"/>
  <c r="K10" i="18"/>
  <c r="K9" i="18"/>
  <c r="K8" i="18"/>
  <c r="K7" i="18"/>
  <c r="K6" i="18"/>
  <c r="K5" i="18"/>
  <c r="T15" i="18" l="1"/>
  <c r="U15" i="18" s="1"/>
  <c r="Z15" i="18"/>
  <c r="AA15" i="18" s="1"/>
  <c r="AB15" i="18" s="1"/>
  <c r="AC15" i="18" s="1"/>
  <c r="AD15" i="18" s="1"/>
  <c r="AE15" i="18" s="1"/>
  <c r="K24" i="18"/>
  <c r="E6" i="18"/>
  <c r="E7" i="18"/>
  <c r="E8" i="18"/>
  <c r="E9" i="18"/>
  <c r="E10" i="18"/>
  <c r="E11" i="18"/>
  <c r="E12" i="18"/>
  <c r="E13" i="18"/>
  <c r="E14" i="18"/>
  <c r="E15" i="18"/>
  <c r="E17" i="18"/>
  <c r="E18" i="18"/>
  <c r="E19" i="18"/>
  <c r="E20" i="18"/>
  <c r="E21" i="18"/>
  <c r="E22" i="18"/>
  <c r="E23" i="18"/>
  <c r="E24" i="18"/>
  <c r="E25" i="18"/>
  <c r="E27" i="18"/>
  <c r="E29" i="18"/>
  <c r="E30" i="18"/>
  <c r="E32" i="18"/>
  <c r="E33" i="18"/>
  <c r="E34" i="18"/>
  <c r="E35" i="18"/>
  <c r="E5" i="18"/>
  <c r="C36" i="18"/>
  <c r="C37" i="18" s="1"/>
  <c r="D36" i="18"/>
  <c r="D37" i="18" s="1"/>
  <c r="F36" i="18"/>
  <c r="G36" i="18"/>
  <c r="H36" i="18"/>
  <c r="I36" i="18"/>
  <c r="B36" i="18"/>
  <c r="B37" i="18" s="1"/>
  <c r="AN15" i="18" l="1"/>
  <c r="K15" i="18"/>
  <c r="K1" i="18" s="1"/>
  <c r="E36" i="18"/>
  <c r="E37" i="18" s="1"/>
  <c r="AS15" i="18" l="1"/>
  <c r="AS36" i="18" s="1"/>
  <c r="AS38" i="18" s="1"/>
  <c r="AQ15" i="18"/>
  <c r="AQ36" i="18" s="1"/>
  <c r="AQ38" i="18" s="1"/>
  <c r="BC15" i="18"/>
  <c r="BC36" i="18" s="1"/>
  <c r="BC38" i="18" s="1"/>
  <c r="AU15" i="18"/>
  <c r="BB15" i="18"/>
  <c r="BB36" i="18" s="1"/>
  <c r="BB38" i="18" s="1"/>
  <c r="AT15" i="18"/>
  <c r="AT36" i="18" s="1"/>
  <c r="AT38" i="18" s="1"/>
  <c r="BA15" i="18"/>
  <c r="BA36" i="18" s="1"/>
  <c r="BA38" i="18" s="1"/>
  <c r="AR15" i="18"/>
  <c r="AW15" i="18"/>
  <c r="AW36" i="18" s="1"/>
  <c r="AW38" i="18" s="1"/>
  <c r="AZ15" i="18"/>
  <c r="AZ36" i="18" s="1"/>
  <c r="AZ38" i="18" s="1"/>
  <c r="BF15" i="18"/>
  <c r="BF36" i="18" s="1"/>
  <c r="BF38" i="18" s="1"/>
  <c r="AX15" i="18"/>
  <c r="AX36" i="18" s="1"/>
  <c r="AX38" i="18" s="1"/>
  <c r="AY15" i="18"/>
  <c r="AY36" i="18" s="1"/>
  <c r="AY38" i="18" s="1"/>
  <c r="BE15" i="18"/>
  <c r="BE36" i="18" s="1"/>
  <c r="BE38" i="18" s="1"/>
  <c r="BD15" i="18"/>
  <c r="BD36" i="18" s="1"/>
  <c r="BD38" i="18" s="1"/>
  <c r="AV15" i="18"/>
  <c r="AV36" i="18" s="1"/>
  <c r="AV38" i="18" s="1"/>
  <c r="AN1" i="18"/>
  <c r="C62" i="16"/>
  <c r="C61" i="16"/>
  <c r="C60" i="16"/>
  <c r="C59" i="16"/>
  <c r="C58" i="16"/>
  <c r="C57" i="16"/>
  <c r="C56" i="16"/>
  <c r="B62" i="16"/>
  <c r="B61" i="16"/>
  <c r="B60" i="16"/>
  <c r="B59" i="16"/>
  <c r="B58" i="16"/>
  <c r="B57" i="16"/>
  <c r="B56" i="16"/>
  <c r="D51" i="16"/>
  <c r="C51" i="16"/>
  <c r="B51" i="16"/>
  <c r="D50" i="16"/>
  <c r="C50" i="16"/>
  <c r="B50" i="16"/>
  <c r="H52" i="16"/>
  <c r="G52" i="16"/>
  <c r="F52" i="16"/>
  <c r="E52" i="16"/>
  <c r="H51" i="16"/>
  <c r="G51" i="16"/>
  <c r="F51" i="16"/>
  <c r="E51" i="16"/>
  <c r="H50" i="16"/>
  <c r="G50" i="16"/>
  <c r="F50" i="16"/>
  <c r="E50" i="16"/>
  <c r="D47" i="16"/>
  <c r="D48" i="16" s="1"/>
  <c r="C47" i="16"/>
  <c r="D46" i="16"/>
  <c r="C46" i="16"/>
  <c r="B47" i="16"/>
  <c r="B46" i="16"/>
  <c r="H48" i="16"/>
  <c r="G48" i="16"/>
  <c r="F48" i="16"/>
  <c r="E48" i="16"/>
  <c r="C35" i="16"/>
  <c r="D35" i="16"/>
  <c r="E35" i="16"/>
  <c r="F35" i="16"/>
  <c r="G35" i="16"/>
  <c r="H35" i="16"/>
  <c r="B35" i="16"/>
  <c r="C31" i="16"/>
  <c r="D31" i="16"/>
  <c r="E31" i="16"/>
  <c r="F31" i="16"/>
  <c r="G31" i="16"/>
  <c r="H31" i="16"/>
  <c r="B31" i="16"/>
  <c r="E46" i="16"/>
  <c r="F46" i="16"/>
  <c r="G46" i="16"/>
  <c r="H46" i="16"/>
  <c r="E47" i="16"/>
  <c r="F47" i="16"/>
  <c r="G47" i="16"/>
  <c r="H47" i="16"/>
  <c r="B42" i="16"/>
  <c r="B41" i="16"/>
  <c r="B39" i="16"/>
  <c r="B38" i="16"/>
  <c r="I26" i="16"/>
  <c r="I25" i="16"/>
  <c r="I21" i="16"/>
  <c r="H30" i="16" s="1"/>
  <c r="I20" i="16"/>
  <c r="H29" i="16" s="1"/>
  <c r="C30" i="16"/>
  <c r="D30" i="16"/>
  <c r="E30" i="16"/>
  <c r="F30" i="16"/>
  <c r="G30" i="16"/>
  <c r="C34" i="16"/>
  <c r="D34" i="16"/>
  <c r="E34" i="16"/>
  <c r="F34" i="16"/>
  <c r="G34" i="16"/>
  <c r="H34" i="16"/>
  <c r="B34" i="16"/>
  <c r="C33" i="16"/>
  <c r="D33" i="16"/>
  <c r="E33" i="16"/>
  <c r="F33" i="16"/>
  <c r="G33" i="16"/>
  <c r="H33" i="16"/>
  <c r="B33" i="16"/>
  <c r="B30" i="16"/>
  <c r="C29" i="16"/>
  <c r="D29" i="16"/>
  <c r="E29" i="16"/>
  <c r="F29" i="16"/>
  <c r="G29" i="16"/>
  <c r="B29" i="16"/>
  <c r="G48" i="17"/>
  <c r="G47" i="17"/>
  <c r="AP15" i="18" l="1"/>
  <c r="AP1" i="18" s="1"/>
  <c r="AU36" i="18"/>
  <c r="AU38" i="18" s="1"/>
  <c r="AO15" i="18"/>
  <c r="AO1" i="18" s="1"/>
  <c r="AO36" i="18" s="1"/>
  <c r="AR36" i="18"/>
  <c r="AR38" i="18" s="1"/>
  <c r="D52" i="16"/>
  <c r="C52" i="16"/>
  <c r="B52" i="16"/>
  <c r="C48" i="16"/>
  <c r="B48" i="16"/>
  <c r="C45" i="17" l="1"/>
  <c r="D45" i="17"/>
  <c r="E45" i="17"/>
  <c r="F45" i="17"/>
  <c r="G45" i="17"/>
  <c r="H45" i="17"/>
  <c r="B45" i="17"/>
  <c r="B44" i="17"/>
  <c r="C44" i="17"/>
  <c r="D44" i="17"/>
  <c r="E44" i="17"/>
  <c r="F44" i="17"/>
  <c r="G44" i="17"/>
  <c r="H44" i="17"/>
  <c r="G43" i="17"/>
  <c r="H43" i="17" s="1"/>
  <c r="F43" i="17"/>
  <c r="E43" i="17"/>
  <c r="C42" i="17"/>
  <c r="D42" i="17"/>
  <c r="E42" i="17"/>
  <c r="F42" i="17"/>
  <c r="G42" i="17"/>
  <c r="H42" i="17"/>
  <c r="B42" i="17"/>
  <c r="G37" i="17"/>
  <c r="F37" i="17"/>
  <c r="B37" i="17"/>
  <c r="S11" i="17" l="1"/>
  <c r="I26" i="17"/>
  <c r="S8" i="17"/>
  <c r="H33" i="17"/>
  <c r="H32" i="17"/>
  <c r="H31" i="17"/>
  <c r="E31" i="17"/>
  <c r="F31" i="17"/>
  <c r="G31" i="17"/>
  <c r="C31" i="17"/>
  <c r="B31" i="17"/>
  <c r="H27" i="17"/>
  <c r="H28" i="17" s="1"/>
  <c r="H26" i="17"/>
  <c r="B26" i="17"/>
  <c r="C26" i="17"/>
  <c r="D26" i="17"/>
  <c r="K18" i="17"/>
  <c r="K27" i="17"/>
  <c r="K28" i="17" s="1"/>
  <c r="F26" i="17"/>
  <c r="G26" i="17"/>
  <c r="E26" i="17"/>
  <c r="AD17" i="15" l="1"/>
  <c r="AC17" i="15"/>
  <c r="AB17" i="15"/>
  <c r="AA17" i="15"/>
  <c r="AA13" i="15"/>
  <c r="AE12" i="15"/>
  <c r="AE11" i="15"/>
  <c r="AE8" i="15"/>
  <c r="S41" i="15"/>
  <c r="R41" i="15"/>
  <c r="Q41" i="15"/>
  <c r="P41" i="15"/>
  <c r="N41" i="15"/>
  <c r="S40" i="15"/>
  <c r="R40" i="15"/>
  <c r="Q40" i="15"/>
  <c r="P40" i="15"/>
  <c r="N40" i="15"/>
  <c r="AO34" i="15"/>
  <c r="AN34" i="15"/>
  <c r="AM34" i="15"/>
  <c r="AL34" i="15"/>
  <c r="S34" i="15"/>
  <c r="R34" i="15"/>
  <c r="Q34" i="15"/>
  <c r="P34" i="15"/>
  <c r="S25" i="15"/>
  <c r="R25" i="15"/>
  <c r="Q25" i="15"/>
  <c r="P25" i="15"/>
  <c r="S23" i="15"/>
  <c r="R23" i="15"/>
  <c r="Q23" i="15"/>
  <c r="P23" i="15"/>
  <c r="AD48" i="15"/>
  <c r="AC48" i="15"/>
  <c r="AB48" i="15"/>
  <c r="AA48" i="15"/>
  <c r="AD47" i="15"/>
  <c r="AC47" i="15"/>
  <c r="AB47" i="15"/>
  <c r="AA47" i="15"/>
  <c r="AD46" i="15"/>
  <c r="AC46" i="15"/>
  <c r="AB46" i="15"/>
  <c r="AA46" i="15"/>
  <c r="AO46" i="15"/>
  <c r="AN46" i="15"/>
  <c r="AM46" i="15"/>
  <c r="AL46" i="15"/>
  <c r="AO25" i="15"/>
  <c r="AN25" i="15"/>
  <c r="AM25" i="15"/>
  <c r="AL25" i="15"/>
  <c r="AO23" i="15"/>
  <c r="AN23" i="15"/>
  <c r="AM23" i="15"/>
  <c r="AL23" i="15"/>
  <c r="D48" i="15"/>
  <c r="E48" i="15" s="1"/>
  <c r="F48" i="15" s="1"/>
  <c r="G48" i="15" s="1"/>
  <c r="H48" i="15" s="1"/>
  <c r="I48" i="15" s="1"/>
  <c r="J48" i="15" s="1"/>
  <c r="K48" i="15" s="1"/>
  <c r="D22" i="14" l="1"/>
  <c r="D23" i="14"/>
  <c r="D24" i="14"/>
  <c r="D19" i="14"/>
  <c r="D18" i="14"/>
  <c r="U16" i="14"/>
  <c r="Q16" i="14"/>
  <c r="P16" i="14"/>
  <c r="G15" i="13"/>
  <c r="H15" i="13" s="1"/>
  <c r="I15" i="13" s="1"/>
  <c r="J15" i="13" s="1"/>
  <c r="K15" i="13" s="1"/>
  <c r="L15" i="13" s="1"/>
  <c r="E15" i="13"/>
  <c r="E23" i="14" l="1"/>
  <c r="D26" i="14"/>
  <c r="E20" i="14" l="1"/>
  <c r="E21" i="14"/>
  <c r="E22" i="14"/>
  <c r="E24" i="14"/>
  <c r="E19" i="14"/>
  <c r="E18" i="14"/>
  <c r="AK50" i="15" l="1"/>
  <c r="AL50" i="15" s="1"/>
  <c r="AM50" i="15" s="1"/>
  <c r="AN50" i="15" s="1"/>
  <c r="AO50" i="15" s="1"/>
  <c r="AP50" i="15" s="1"/>
  <c r="AQ50" i="15" s="1"/>
  <c r="AR50" i="15" s="1"/>
  <c r="AS50" i="15" s="1"/>
  <c r="Z50" i="15"/>
  <c r="AA50" i="15" s="1"/>
  <c r="AB50" i="15" s="1"/>
  <c r="AC50" i="15" s="1"/>
  <c r="AD50" i="15" s="1"/>
  <c r="AE50" i="15" s="1"/>
  <c r="AF50" i="15" s="1"/>
  <c r="AG50" i="15" s="1"/>
  <c r="AH50" i="15" s="1"/>
  <c r="O50" i="15"/>
  <c r="P50" i="15" s="1"/>
  <c r="Q50" i="15" s="1"/>
  <c r="R50" i="15" s="1"/>
  <c r="S50" i="15" s="1"/>
  <c r="T50" i="15" s="1"/>
  <c r="U50" i="15" s="1"/>
  <c r="V50" i="15" s="1"/>
  <c r="W50" i="15" s="1"/>
  <c r="D50" i="15"/>
  <c r="E50" i="15" s="1"/>
  <c r="F50" i="15" s="1"/>
  <c r="G50" i="15" s="1"/>
  <c r="H50" i="15" s="1"/>
  <c r="I50" i="15" s="1"/>
  <c r="J50" i="15" s="1"/>
  <c r="K50" i="15" s="1"/>
  <c r="L50" i="15" s="1"/>
  <c r="M50" i="15"/>
  <c r="X50" i="15" s="1"/>
  <c r="AI50" i="15" s="1"/>
  <c r="E47" i="15"/>
  <c r="AL49" i="15" l="1"/>
  <c r="AM49" i="15" s="1"/>
  <c r="AN49" i="15" s="1"/>
  <c r="AO49" i="15" s="1"/>
  <c r="AP49" i="15" s="1"/>
  <c r="AQ49" i="15" s="1"/>
  <c r="AR49" i="15" s="1"/>
  <c r="AS49" i="15" s="1"/>
  <c r="AL47" i="15"/>
  <c r="AM47" i="15" s="1"/>
  <c r="AN47" i="15" s="1"/>
  <c r="AO47" i="15" s="1"/>
  <c r="AP47" i="15" s="1"/>
  <c r="AQ47" i="15" s="1"/>
  <c r="AR47" i="15" s="1"/>
  <c r="AS47" i="15" s="1"/>
  <c r="AL45" i="15"/>
  <c r="AM45" i="15" s="1"/>
  <c r="AN45" i="15" s="1"/>
  <c r="AO45" i="15" s="1"/>
  <c r="AP45" i="15" s="1"/>
  <c r="AQ45" i="15" s="1"/>
  <c r="AR45" i="15" s="1"/>
  <c r="AS45" i="15" s="1"/>
  <c r="AL44" i="15"/>
  <c r="AM44" i="15" s="1"/>
  <c r="AN44" i="15" s="1"/>
  <c r="AO44" i="15" s="1"/>
  <c r="AP44" i="15" s="1"/>
  <c r="AQ44" i="15" s="1"/>
  <c r="AR44" i="15" s="1"/>
  <c r="AS44" i="15" s="1"/>
  <c r="AL43" i="15"/>
  <c r="AM43" i="15" s="1"/>
  <c r="AN43" i="15" s="1"/>
  <c r="AO43" i="15" s="1"/>
  <c r="AP43" i="15" s="1"/>
  <c r="AQ43" i="15" s="1"/>
  <c r="AR43" i="15" s="1"/>
  <c r="AS43" i="15" s="1"/>
  <c r="AL42" i="15"/>
  <c r="AM42" i="15" s="1"/>
  <c r="AN42" i="15" s="1"/>
  <c r="AO42" i="15" s="1"/>
  <c r="AP42" i="15" s="1"/>
  <c r="AQ42" i="15" s="1"/>
  <c r="AR42" i="15" s="1"/>
  <c r="AS42" i="15" s="1"/>
  <c r="AL39" i="15"/>
  <c r="AM39" i="15" s="1"/>
  <c r="AN39" i="15" s="1"/>
  <c r="AO39" i="15" s="1"/>
  <c r="AP39" i="15" s="1"/>
  <c r="AQ39" i="15" s="1"/>
  <c r="AR39" i="15" s="1"/>
  <c r="AS39" i="15" s="1"/>
  <c r="AL38" i="15"/>
  <c r="AM38" i="15" s="1"/>
  <c r="AN38" i="15" s="1"/>
  <c r="AO38" i="15" s="1"/>
  <c r="AP38" i="15" s="1"/>
  <c r="AQ38" i="15" s="1"/>
  <c r="AR38" i="15" s="1"/>
  <c r="AS38" i="15" s="1"/>
  <c r="AL37" i="15"/>
  <c r="AM37" i="15" s="1"/>
  <c r="AN37" i="15" s="1"/>
  <c r="AO37" i="15" s="1"/>
  <c r="AP37" i="15" s="1"/>
  <c r="AQ37" i="15" s="1"/>
  <c r="AR37" i="15" s="1"/>
  <c r="AS37" i="15" s="1"/>
  <c r="AL36" i="15"/>
  <c r="AM36" i="15" s="1"/>
  <c r="AN36" i="15" s="1"/>
  <c r="AO36" i="15" s="1"/>
  <c r="AP36" i="15" s="1"/>
  <c r="AQ36" i="15" s="1"/>
  <c r="AR36" i="15" s="1"/>
  <c r="AS36" i="15" s="1"/>
  <c r="AL35" i="15"/>
  <c r="AM35" i="15" s="1"/>
  <c r="AN35" i="15" s="1"/>
  <c r="AO35" i="15" s="1"/>
  <c r="AP35" i="15" s="1"/>
  <c r="AQ35" i="15" s="1"/>
  <c r="AR35" i="15" s="1"/>
  <c r="AS35" i="15" s="1"/>
  <c r="AL33" i="15"/>
  <c r="AM33" i="15" s="1"/>
  <c r="AN33" i="15" s="1"/>
  <c r="AO33" i="15" s="1"/>
  <c r="AP33" i="15" s="1"/>
  <c r="AQ33" i="15" s="1"/>
  <c r="AR33" i="15" s="1"/>
  <c r="AS33" i="15" s="1"/>
  <c r="AL32" i="15"/>
  <c r="AM32" i="15" s="1"/>
  <c r="AN32" i="15" s="1"/>
  <c r="AO32" i="15" s="1"/>
  <c r="AP32" i="15" s="1"/>
  <c r="AQ32" i="15" s="1"/>
  <c r="AR32" i="15" s="1"/>
  <c r="AS32" i="15" s="1"/>
  <c r="AL31" i="15"/>
  <c r="AM31" i="15" s="1"/>
  <c r="AN31" i="15" s="1"/>
  <c r="AO31" i="15" s="1"/>
  <c r="AP31" i="15" s="1"/>
  <c r="AQ31" i="15" s="1"/>
  <c r="AR31" i="15" s="1"/>
  <c r="AS31" i="15" s="1"/>
  <c r="AL30" i="15"/>
  <c r="AM30" i="15"/>
  <c r="AN30" i="15" s="1"/>
  <c r="AO30" i="15" s="1"/>
  <c r="AP30" i="15" s="1"/>
  <c r="AQ30" i="15" s="1"/>
  <c r="AR30" i="15" s="1"/>
  <c r="AS30" i="15" s="1"/>
  <c r="AL29" i="15"/>
  <c r="AM29" i="15" s="1"/>
  <c r="AN29" i="15" s="1"/>
  <c r="AO29" i="15" s="1"/>
  <c r="AP29" i="15" s="1"/>
  <c r="AQ29" i="15" s="1"/>
  <c r="AR29" i="15" s="1"/>
  <c r="AS29" i="15" s="1"/>
  <c r="AL28" i="15"/>
  <c r="AM28" i="15" s="1"/>
  <c r="AN28" i="15" s="1"/>
  <c r="AO28" i="15" s="1"/>
  <c r="AP28" i="15" s="1"/>
  <c r="AQ28" i="15" s="1"/>
  <c r="AR28" i="15" s="1"/>
  <c r="AS28" i="15" s="1"/>
  <c r="AL24" i="15"/>
  <c r="AM24" i="15" s="1"/>
  <c r="AN24" i="15" s="1"/>
  <c r="AO24" i="15" s="1"/>
  <c r="AP24" i="15" s="1"/>
  <c r="AQ24" i="15" s="1"/>
  <c r="AR24" i="15" s="1"/>
  <c r="AS24" i="15" s="1"/>
  <c r="AL22" i="15"/>
  <c r="AM22" i="15" s="1"/>
  <c r="AN22" i="15" s="1"/>
  <c r="AO22" i="15" s="1"/>
  <c r="AP22" i="15" s="1"/>
  <c r="AQ22" i="15" s="1"/>
  <c r="AR22" i="15" s="1"/>
  <c r="AS22" i="15" s="1"/>
  <c r="AL21" i="15"/>
  <c r="AM21" i="15" s="1"/>
  <c r="AN21" i="15" s="1"/>
  <c r="AO21" i="15" s="1"/>
  <c r="AP21" i="15" s="1"/>
  <c r="AQ21" i="15" s="1"/>
  <c r="AR21" i="15" s="1"/>
  <c r="AS21" i="15" s="1"/>
  <c r="AL20" i="15"/>
  <c r="AM20" i="15" s="1"/>
  <c r="AN20" i="15" s="1"/>
  <c r="AO20" i="15" s="1"/>
  <c r="AP20" i="15" s="1"/>
  <c r="AQ20" i="15" s="1"/>
  <c r="AR20" i="15" s="1"/>
  <c r="AS20" i="15" s="1"/>
  <c r="AL19" i="15"/>
  <c r="AM19" i="15"/>
  <c r="AN19" i="15" s="1"/>
  <c r="AO19" i="15" s="1"/>
  <c r="AP19" i="15" s="1"/>
  <c r="AQ19" i="15" s="1"/>
  <c r="AR19" i="15" s="1"/>
  <c r="AS19" i="15" s="1"/>
  <c r="AL18" i="15"/>
  <c r="AM18" i="15" s="1"/>
  <c r="AN18" i="15" s="1"/>
  <c r="AO18" i="15" s="1"/>
  <c r="AP18" i="15" s="1"/>
  <c r="AQ18" i="15" s="1"/>
  <c r="AR18" i="15" s="1"/>
  <c r="AS18" i="15" s="1"/>
  <c r="AL17" i="15"/>
  <c r="AM17" i="15" s="1"/>
  <c r="AN17" i="15" s="1"/>
  <c r="AO17" i="15" s="1"/>
  <c r="AP17" i="15" s="1"/>
  <c r="AQ17" i="15" s="1"/>
  <c r="AR17" i="15" s="1"/>
  <c r="AS17" i="15" s="1"/>
  <c r="AL16" i="15"/>
  <c r="AM16" i="15"/>
  <c r="AN16" i="15" s="1"/>
  <c r="AO16" i="15" s="1"/>
  <c r="AP16" i="15" s="1"/>
  <c r="AQ16" i="15" s="1"/>
  <c r="AR16" i="15" s="1"/>
  <c r="AS16" i="15" s="1"/>
  <c r="AL15" i="15"/>
  <c r="AM15" i="15" s="1"/>
  <c r="AN15" i="15" s="1"/>
  <c r="AO15" i="15" s="1"/>
  <c r="AP15" i="15" s="1"/>
  <c r="AQ15" i="15" s="1"/>
  <c r="AR15" i="15" s="1"/>
  <c r="AS15" i="15" s="1"/>
  <c r="AL14" i="15"/>
  <c r="AM14" i="15"/>
  <c r="AN14" i="15" s="1"/>
  <c r="AO14" i="15" s="1"/>
  <c r="AP14" i="15" s="1"/>
  <c r="AQ14" i="15" s="1"/>
  <c r="AR14" i="15" s="1"/>
  <c r="AS14" i="15" s="1"/>
  <c r="AL13" i="15"/>
  <c r="AM13" i="15" s="1"/>
  <c r="AN13" i="15" s="1"/>
  <c r="AO13" i="15" s="1"/>
  <c r="AP13" i="15" s="1"/>
  <c r="AQ13" i="15" s="1"/>
  <c r="AR13" i="15" s="1"/>
  <c r="AS13" i="15" s="1"/>
  <c r="AL12" i="15"/>
  <c r="AM12" i="15" s="1"/>
  <c r="AN12" i="15" s="1"/>
  <c r="AO12" i="15" s="1"/>
  <c r="AP12" i="15" s="1"/>
  <c r="AQ12" i="15" s="1"/>
  <c r="AR12" i="15" s="1"/>
  <c r="AS12" i="15" s="1"/>
  <c r="AL11" i="15"/>
  <c r="AM11" i="15"/>
  <c r="AN11" i="15" s="1"/>
  <c r="AO11" i="15" s="1"/>
  <c r="AP11" i="15" s="1"/>
  <c r="AQ11" i="15" s="1"/>
  <c r="AR11" i="15" s="1"/>
  <c r="AS11" i="15" s="1"/>
  <c r="AL10" i="15"/>
  <c r="AM10" i="15" s="1"/>
  <c r="AN10" i="15" s="1"/>
  <c r="AO10" i="15" s="1"/>
  <c r="AP10" i="15" s="1"/>
  <c r="AQ10" i="15" s="1"/>
  <c r="AR10" i="15" s="1"/>
  <c r="AS10" i="15" s="1"/>
  <c r="AM9" i="15"/>
  <c r="AN9" i="15" s="1"/>
  <c r="AO9" i="15" s="1"/>
  <c r="AP9" i="15" s="1"/>
  <c r="AQ9" i="15" s="1"/>
  <c r="AR9" i="15" s="1"/>
  <c r="AS9" i="15" s="1"/>
  <c r="AL6" i="15" l="1"/>
  <c r="AM6" i="15" s="1"/>
  <c r="AN6" i="15" s="1"/>
  <c r="AO6" i="15" s="1"/>
  <c r="AP6" i="15" s="1"/>
  <c r="AQ6" i="15" s="1"/>
  <c r="AR6" i="15" s="1"/>
  <c r="AS6" i="15" s="1"/>
  <c r="AL7" i="15"/>
  <c r="AM7" i="15" s="1"/>
  <c r="AN7" i="15" s="1"/>
  <c r="AO7" i="15" s="1"/>
  <c r="AP7" i="15" s="1"/>
  <c r="AQ7" i="15" s="1"/>
  <c r="AR7" i="15" s="1"/>
  <c r="AS7" i="15" s="1"/>
  <c r="AL8" i="15"/>
  <c r="AM8" i="15" s="1"/>
  <c r="AN8" i="15" s="1"/>
  <c r="AO8" i="15" s="1"/>
  <c r="AP8" i="15" s="1"/>
  <c r="AQ8" i="15" s="1"/>
  <c r="AR8" i="15" s="1"/>
  <c r="AS8" i="15" s="1"/>
  <c r="AL5" i="15"/>
  <c r="AM5" i="15" s="1"/>
  <c r="AN5" i="15" s="1"/>
  <c r="AO5" i="15" s="1"/>
  <c r="AP5" i="15" s="1"/>
  <c r="AQ5" i="15" s="1"/>
  <c r="AR5" i="15" s="1"/>
  <c r="AS5" i="15" s="1"/>
  <c r="AA49" i="15"/>
  <c r="AB49" i="15" s="1"/>
  <c r="AC49" i="15" s="1"/>
  <c r="AD49" i="15" s="1"/>
  <c r="AE49" i="15" s="1"/>
  <c r="AF49" i="15" s="1"/>
  <c r="AG49" i="15" s="1"/>
  <c r="AH49" i="15" s="1"/>
  <c r="AA45" i="15" l="1"/>
  <c r="AB45" i="15" s="1"/>
  <c r="AC45" i="15" s="1"/>
  <c r="AD45" i="15" s="1"/>
  <c r="AE45" i="15" s="1"/>
  <c r="AF45" i="15" s="1"/>
  <c r="AG45" i="15" s="1"/>
  <c r="AH45" i="15" s="1"/>
  <c r="AA44" i="15"/>
  <c r="AB44" i="15" s="1"/>
  <c r="AC44" i="15" s="1"/>
  <c r="AD44" i="15" s="1"/>
  <c r="AE44" i="15" s="1"/>
  <c r="AF44" i="15" s="1"/>
  <c r="AG44" i="15" s="1"/>
  <c r="AH44" i="15" s="1"/>
  <c r="AA43" i="15"/>
  <c r="AB43" i="15" s="1"/>
  <c r="AC43" i="15" s="1"/>
  <c r="AD43" i="15" s="1"/>
  <c r="AE43" i="15" s="1"/>
  <c r="AF43" i="15" s="1"/>
  <c r="AG43" i="15" s="1"/>
  <c r="AH43" i="15" s="1"/>
  <c r="AB42" i="15"/>
  <c r="AC42" i="15" s="1"/>
  <c r="AD42" i="15" s="1"/>
  <c r="AF42" i="15" s="1"/>
  <c r="AG42" i="15" s="1"/>
  <c r="AB39" i="15"/>
  <c r="AD39" i="15" s="1"/>
  <c r="AE39" i="15" s="1"/>
  <c r="AF39" i="15" s="1"/>
  <c r="AG39" i="15" s="1"/>
  <c r="AH39" i="15" s="1"/>
  <c r="AA38" i="15"/>
  <c r="AB38" i="15" s="1"/>
  <c r="AC38" i="15" s="1"/>
  <c r="AD38" i="15" s="1"/>
  <c r="AE38" i="15" s="1"/>
  <c r="AF38" i="15" s="1"/>
  <c r="AG38" i="15" s="1"/>
  <c r="AH38" i="15" s="1"/>
  <c r="AA37" i="15"/>
  <c r="AB37" i="15" s="1"/>
  <c r="AC37" i="15" s="1"/>
  <c r="AD37" i="15" s="1"/>
  <c r="AE37" i="15" s="1"/>
  <c r="AF37" i="15" s="1"/>
  <c r="AG37" i="15" s="1"/>
  <c r="AH37" i="15" s="1"/>
  <c r="AA36" i="15"/>
  <c r="AB36" i="15" s="1"/>
  <c r="AC36" i="15" s="1"/>
  <c r="AD36" i="15" s="1"/>
  <c r="AE36" i="15" s="1"/>
  <c r="AF36" i="15" s="1"/>
  <c r="AG36" i="15" s="1"/>
  <c r="AH36" i="15" s="1"/>
  <c r="AA35" i="15"/>
  <c r="AB35" i="15"/>
  <c r="AC35" i="15" s="1"/>
  <c r="AD35" i="15" s="1"/>
  <c r="AE35" i="15" s="1"/>
  <c r="AF35" i="15" s="1"/>
  <c r="AG35" i="15" s="1"/>
  <c r="AH35" i="15" s="1"/>
  <c r="AA34" i="15"/>
  <c r="AB34" i="15" s="1"/>
  <c r="AC34" i="15" s="1"/>
  <c r="AD34" i="15" s="1"/>
  <c r="AE34" i="15" s="1"/>
  <c r="AF34" i="15" s="1"/>
  <c r="AG34" i="15" s="1"/>
  <c r="AH34" i="15" s="1"/>
  <c r="AA33" i="15"/>
  <c r="AB33" i="15" s="1"/>
  <c r="AC33" i="15" s="1"/>
  <c r="AD33" i="15" s="1"/>
  <c r="AE33" i="15" s="1"/>
  <c r="AF33" i="15" s="1"/>
  <c r="AG33" i="15" s="1"/>
  <c r="AH33" i="15" s="1"/>
  <c r="AA32" i="15"/>
  <c r="AB32" i="15" s="1"/>
  <c r="AC32" i="15" s="1"/>
  <c r="AD32" i="15" s="1"/>
  <c r="AE32" i="15" s="1"/>
  <c r="AF32" i="15" s="1"/>
  <c r="AG32" i="15" s="1"/>
  <c r="AH32" i="15" s="1"/>
  <c r="AA31" i="15"/>
  <c r="AB31" i="15" s="1"/>
  <c r="AC31" i="15" s="1"/>
  <c r="AD31" i="15" s="1"/>
  <c r="AE31" i="15" s="1"/>
  <c r="AF31" i="15" s="1"/>
  <c r="AG31" i="15" s="1"/>
  <c r="AH31" i="15" s="1"/>
  <c r="AA30" i="15"/>
  <c r="AB30" i="15" s="1"/>
  <c r="AC30" i="15" s="1"/>
  <c r="AD30" i="15" s="1"/>
  <c r="AE30" i="15" s="1"/>
  <c r="AF30" i="15" s="1"/>
  <c r="AG30" i="15" s="1"/>
  <c r="AH30" i="15" s="1"/>
  <c r="AA29" i="15"/>
  <c r="AB29" i="15" s="1"/>
  <c r="AC29" i="15" s="1"/>
  <c r="AD29" i="15" s="1"/>
  <c r="AE29" i="15" s="1"/>
  <c r="AF29" i="15" s="1"/>
  <c r="AG29" i="15" s="1"/>
  <c r="AH29" i="15" s="1"/>
  <c r="AA28" i="15"/>
  <c r="AB28" i="15" s="1"/>
  <c r="AC28" i="15" s="1"/>
  <c r="AD28" i="15" s="1"/>
  <c r="AE28" i="15" s="1"/>
  <c r="AF28" i="15" s="1"/>
  <c r="AG28" i="15" s="1"/>
  <c r="AH28" i="15" s="1"/>
  <c r="AA27" i="15"/>
  <c r="AB27" i="15" s="1"/>
  <c r="AC27" i="15" s="1"/>
  <c r="AD27" i="15" s="1"/>
  <c r="AE27" i="15" s="1"/>
  <c r="AF27" i="15" s="1"/>
  <c r="AG27" i="15" s="1"/>
  <c r="AH27" i="15" s="1"/>
  <c r="AM27" i="15"/>
  <c r="AN27" i="15" s="1"/>
  <c r="AO27" i="15" s="1"/>
  <c r="AP27" i="15" s="1"/>
  <c r="AQ27" i="15" s="1"/>
  <c r="AR27" i="15" s="1"/>
  <c r="AS27" i="15" s="1"/>
  <c r="AL26" i="15"/>
  <c r="AM26" i="15" s="1"/>
  <c r="AN26" i="15" s="1"/>
  <c r="AO26" i="15" s="1"/>
  <c r="AP26" i="15" s="1"/>
  <c r="AQ26" i="15" s="1"/>
  <c r="AR26" i="15" s="1"/>
  <c r="AS26" i="15" s="1"/>
  <c r="AA26" i="15"/>
  <c r="AB26" i="15"/>
  <c r="AC26" i="15" s="1"/>
  <c r="AD26" i="15" s="1"/>
  <c r="AE26" i="15" s="1"/>
  <c r="AF26" i="15" s="1"/>
  <c r="AG26" i="15" s="1"/>
  <c r="AH26" i="15" s="1"/>
  <c r="E72" i="15"/>
  <c r="E71" i="15"/>
  <c r="E69" i="15"/>
  <c r="E68" i="15"/>
  <c r="E70" i="15" s="1"/>
  <c r="E73" i="15" l="1"/>
  <c r="AA25" i="15"/>
  <c r="AB25" i="15" s="1"/>
  <c r="AC25" i="15" s="1"/>
  <c r="AD25" i="15" s="1"/>
  <c r="AE25" i="15" s="1"/>
  <c r="AF25" i="15" s="1"/>
  <c r="AG25" i="15" s="1"/>
  <c r="AH25" i="15" s="1"/>
  <c r="AA24" i="15"/>
  <c r="AB24" i="15" s="1"/>
  <c r="AC24" i="15" s="1"/>
  <c r="AD24" i="15" s="1"/>
  <c r="AE24" i="15" s="1"/>
  <c r="AF24" i="15" s="1"/>
  <c r="AG24" i="15" s="1"/>
  <c r="AH24" i="15" s="1"/>
  <c r="AA23" i="15"/>
  <c r="AB23" i="15" s="1"/>
  <c r="AC23" i="15" s="1"/>
  <c r="AD23" i="15" s="1"/>
  <c r="AE23" i="15" s="1"/>
  <c r="AF23" i="15" s="1"/>
  <c r="AG23" i="15" s="1"/>
  <c r="AH23" i="15" s="1"/>
  <c r="AB22" i="15"/>
  <c r="AC22" i="15" s="1"/>
  <c r="AD22" i="15" s="1"/>
  <c r="AE22" i="15" s="1"/>
  <c r="AF22" i="15" s="1"/>
  <c r="AG22" i="15" s="1"/>
  <c r="AH22" i="15" s="1"/>
  <c r="AA21" i="15"/>
  <c r="AB21" i="15" s="1"/>
  <c r="AC21" i="15" s="1"/>
  <c r="AD21" i="15" s="1"/>
  <c r="AE21" i="15" s="1"/>
  <c r="AF21" i="15" s="1"/>
  <c r="AG21" i="15" s="1"/>
  <c r="AH21" i="15" s="1"/>
  <c r="AA20" i="15"/>
  <c r="AB20" i="15" s="1"/>
  <c r="AC20" i="15" s="1"/>
  <c r="AD20" i="15" s="1"/>
  <c r="AE20" i="15" s="1"/>
  <c r="AF20" i="15" s="1"/>
  <c r="AG20" i="15" s="1"/>
  <c r="AH20" i="15" s="1"/>
  <c r="AA19" i="15"/>
  <c r="AB19" i="15" s="1"/>
  <c r="AC19" i="15" s="1"/>
  <c r="AD19" i="15" s="1"/>
  <c r="AE19" i="15" s="1"/>
  <c r="AF19" i="15" s="1"/>
  <c r="AG19" i="15" s="1"/>
  <c r="AH19" i="15" s="1"/>
  <c r="AA18" i="15" l="1"/>
  <c r="AB18" i="15" s="1"/>
  <c r="AC18" i="15" s="1"/>
  <c r="AD18" i="15" s="1"/>
  <c r="AE18" i="15" s="1"/>
  <c r="AF18" i="15" s="1"/>
  <c r="AG18" i="15" s="1"/>
  <c r="AH18" i="15" s="1"/>
  <c r="AB16" i="15" l="1"/>
  <c r="AC16" i="15"/>
  <c r="AD16" i="15" s="1"/>
  <c r="AE16" i="15" s="1"/>
  <c r="AF16" i="15" s="1"/>
  <c r="AG16" i="15" s="1"/>
  <c r="AH16" i="15" s="1"/>
  <c r="AB15" i="15"/>
  <c r="AC15" i="15" s="1"/>
  <c r="AD15" i="15" s="1"/>
  <c r="AE15" i="15" s="1"/>
  <c r="AF15" i="15" s="1"/>
  <c r="AG15" i="15" s="1"/>
  <c r="AH15" i="15" s="1"/>
  <c r="AA14" i="15"/>
  <c r="AB14" i="15" s="1"/>
  <c r="AC14" i="15" s="1"/>
  <c r="AD14" i="15" s="1"/>
  <c r="AE14" i="15" s="1"/>
  <c r="AF14" i="15" s="1"/>
  <c r="AG14" i="15" s="1"/>
  <c r="AH14" i="15" s="1"/>
  <c r="AB13" i="15"/>
  <c r="AC13" i="15" s="1"/>
  <c r="AD13" i="15" s="1"/>
  <c r="AE13" i="15" s="1"/>
  <c r="AF13" i="15" s="1"/>
  <c r="AG13" i="15" s="1"/>
  <c r="AH13" i="15" s="1"/>
  <c r="AA12" i="15"/>
  <c r="AB12" i="15" s="1"/>
  <c r="AC12" i="15" s="1"/>
  <c r="AF12" i="15" s="1"/>
  <c r="AG12" i="15" s="1"/>
  <c r="AH12" i="15" s="1"/>
  <c r="AA11" i="15"/>
  <c r="AB11" i="15" s="1"/>
  <c r="AC11" i="15" s="1"/>
  <c r="AF11" i="15" s="1"/>
  <c r="AG11" i="15" s="1"/>
  <c r="AH11" i="15" s="1"/>
  <c r="AA10" i="15"/>
  <c r="AB10" i="15" s="1"/>
  <c r="AC10" i="15" s="1"/>
  <c r="AD10" i="15" s="1"/>
  <c r="AE10" i="15" s="1"/>
  <c r="AF10" i="15" s="1"/>
  <c r="AG10" i="15" s="1"/>
  <c r="AH10" i="15" s="1"/>
  <c r="AA9" i="15"/>
  <c r="AB9" i="15" s="1"/>
  <c r="AC9" i="15" s="1"/>
  <c r="AD9" i="15" s="1"/>
  <c r="AE9" i="15" s="1"/>
  <c r="AF9" i="15" s="1"/>
  <c r="AG9" i="15" s="1"/>
  <c r="AH9" i="15" s="1"/>
  <c r="AA7" i="15"/>
  <c r="AB7" i="15" s="1"/>
  <c r="AC7" i="15" s="1"/>
  <c r="AA6" i="15"/>
  <c r="AB6" i="15" s="1"/>
  <c r="AC6" i="15" s="1"/>
  <c r="AA5" i="15"/>
  <c r="AB5" i="15" s="1"/>
  <c r="AC5" i="15" s="1"/>
  <c r="Z8" i="15"/>
  <c r="AA8" i="15" s="1"/>
  <c r="AB8" i="15" s="1"/>
  <c r="AC8" i="15" s="1"/>
  <c r="AF8" i="15" s="1"/>
  <c r="AG8" i="15" s="1"/>
  <c r="AH8" i="15" s="1"/>
  <c r="E61" i="15"/>
  <c r="E62" i="15"/>
  <c r="E63" i="15"/>
  <c r="E64" i="15"/>
  <c r="E65" i="15"/>
  <c r="E60" i="15"/>
  <c r="AL41" i="15"/>
  <c r="AM41" i="15"/>
  <c r="AN41" i="15"/>
  <c r="AO41" i="15"/>
  <c r="AA41" i="15"/>
  <c r="AB41" i="15"/>
  <c r="AC41" i="15"/>
  <c r="AD41" i="15"/>
  <c r="AL40" i="15"/>
  <c r="AM40" i="15"/>
  <c r="AN40" i="15"/>
  <c r="AO40" i="15"/>
  <c r="AA40" i="15"/>
  <c r="AB40" i="15"/>
  <c r="AC40" i="15"/>
  <c r="AD40" i="15"/>
  <c r="O46" i="15"/>
  <c r="P46" i="15" s="1"/>
  <c r="Q46" i="15" s="1"/>
  <c r="R46" i="15" s="1"/>
  <c r="S46" i="15" s="1"/>
  <c r="T46" i="15" s="1"/>
  <c r="U46" i="15" s="1"/>
  <c r="V46" i="15" s="1"/>
  <c r="W46" i="15" s="1"/>
  <c r="O44" i="15"/>
  <c r="P44" i="15" s="1"/>
  <c r="Q44" i="15" s="1"/>
  <c r="R44" i="15" s="1"/>
  <c r="S44" i="15" s="1"/>
  <c r="T44" i="15" s="1"/>
  <c r="U44" i="15" s="1"/>
  <c r="V44" i="15" s="1"/>
  <c r="W44" i="15" s="1"/>
  <c r="O43" i="15"/>
  <c r="P43" i="15" s="1"/>
  <c r="Q43" i="15" s="1"/>
  <c r="R43" i="15" s="1"/>
  <c r="S43" i="15" s="1"/>
  <c r="T43" i="15" s="1"/>
  <c r="U43" i="15" s="1"/>
  <c r="V43" i="15" s="1"/>
  <c r="W43" i="15" s="1"/>
  <c r="O42" i="15"/>
  <c r="P42" i="15" s="1"/>
  <c r="Q42" i="15" s="1"/>
  <c r="R42" i="15" s="1"/>
  <c r="S42" i="15" s="1"/>
  <c r="T42" i="15" s="1"/>
  <c r="U42" i="15" s="1"/>
  <c r="V42" i="15" s="1"/>
  <c r="W42" i="15" s="1"/>
  <c r="AD7" i="15" l="1"/>
  <c r="AE7" i="15" s="1"/>
  <c r="AF7" i="15" s="1"/>
  <c r="AG7" i="15" s="1"/>
  <c r="AH7" i="15" s="1"/>
  <c r="AF5" i="15"/>
  <c r="AG5" i="15" s="1"/>
  <c r="AH5" i="15" s="1"/>
  <c r="AD5" i="15"/>
  <c r="AD8" i="15" s="1"/>
  <c r="AD6" i="15"/>
  <c r="AE6" i="15" s="1"/>
  <c r="AF6" i="15" s="1"/>
  <c r="AG6" i="15" s="1"/>
  <c r="AH6" i="15" s="1"/>
  <c r="E66" i="15"/>
  <c r="O39" i="15"/>
  <c r="P39" i="15" s="1"/>
  <c r="Q39" i="15" s="1"/>
  <c r="R39" i="15" s="1"/>
  <c r="S39" i="15" s="1"/>
  <c r="T39" i="15" s="1"/>
  <c r="U39" i="15" s="1"/>
  <c r="V39" i="15" s="1"/>
  <c r="W39" i="15" s="1"/>
  <c r="O38" i="15"/>
  <c r="P38" i="15" s="1"/>
  <c r="Q38" i="15" s="1"/>
  <c r="R38" i="15" s="1"/>
  <c r="S38" i="15" s="1"/>
  <c r="T38" i="15" s="1"/>
  <c r="U38" i="15" s="1"/>
  <c r="V38" i="15" s="1"/>
  <c r="W38" i="15" s="1"/>
  <c r="O36" i="15"/>
  <c r="P36" i="15"/>
  <c r="Q36" i="15" s="1"/>
  <c r="R36" i="15" s="1"/>
  <c r="S36" i="15" s="1"/>
  <c r="T36" i="15" s="1"/>
  <c r="U36" i="15" s="1"/>
  <c r="V36" i="15" s="1"/>
  <c r="W36" i="15" s="1"/>
  <c r="N34" i="15"/>
  <c r="AP1" i="15"/>
  <c r="AK1" i="15"/>
  <c r="AE1" i="15"/>
  <c r="AE17" i="15" s="1"/>
  <c r="Z1" i="15"/>
  <c r="T1" i="15"/>
  <c r="O1" i="15"/>
  <c r="N35" i="15"/>
  <c r="O33" i="15"/>
  <c r="P33" i="15"/>
  <c r="Q33" i="15" s="1"/>
  <c r="R33" i="15" s="1"/>
  <c r="S33" i="15" s="1"/>
  <c r="T33" i="15" s="1"/>
  <c r="U33" i="15" s="1"/>
  <c r="V33" i="15" s="1"/>
  <c r="W33" i="15" s="1"/>
  <c r="I1" i="15"/>
  <c r="J1" i="15" s="1"/>
  <c r="K1" i="15" s="1"/>
  <c r="L1" i="15" s="1"/>
  <c r="D1" i="15"/>
  <c r="O31" i="15"/>
  <c r="P31" i="15" s="1"/>
  <c r="Q31" i="15" s="1"/>
  <c r="R31" i="15" s="1"/>
  <c r="S31" i="15" s="1"/>
  <c r="T31" i="15" s="1"/>
  <c r="U31" i="15" s="1"/>
  <c r="V31" i="15" s="1"/>
  <c r="W31" i="15" s="1"/>
  <c r="O30" i="15"/>
  <c r="P30" i="15" s="1"/>
  <c r="Q30" i="15" s="1"/>
  <c r="R30" i="15" s="1"/>
  <c r="S30" i="15" s="1"/>
  <c r="T30" i="15" s="1"/>
  <c r="U30" i="15" s="1"/>
  <c r="V30" i="15" s="1"/>
  <c r="W30" i="15" s="1"/>
  <c r="D30" i="15"/>
  <c r="E30" i="15" s="1"/>
  <c r="F30" i="15" s="1"/>
  <c r="G30" i="15" s="1"/>
  <c r="H30" i="15" s="1"/>
  <c r="I30" i="15" s="1"/>
  <c r="J30" i="15" s="1"/>
  <c r="K30" i="15" s="1"/>
  <c r="O27" i="15"/>
  <c r="P27" i="15" s="1"/>
  <c r="Q27" i="15" s="1"/>
  <c r="R27" i="15" s="1"/>
  <c r="S27" i="15" s="1"/>
  <c r="T27" i="15" s="1"/>
  <c r="U27" i="15" s="1"/>
  <c r="V27" i="15" s="1"/>
  <c r="W27" i="15" s="1"/>
  <c r="O26" i="15"/>
  <c r="P26" i="15" s="1"/>
  <c r="Q26" i="15" s="1"/>
  <c r="R26" i="15" s="1"/>
  <c r="S26" i="15" s="1"/>
  <c r="T26" i="15" s="1"/>
  <c r="U26" i="15" s="1"/>
  <c r="V26" i="15" s="1"/>
  <c r="W26" i="15" s="1"/>
  <c r="O41" i="15" l="1"/>
  <c r="O40" i="15"/>
  <c r="T41" i="15"/>
  <c r="T40" i="15"/>
  <c r="AQ1" i="15"/>
  <c r="AP25" i="15"/>
  <c r="AP23" i="15"/>
  <c r="AP34" i="15"/>
  <c r="AP46" i="15"/>
  <c r="AP41" i="15"/>
  <c r="AP40" i="15"/>
  <c r="O34" i="15"/>
  <c r="O25" i="15"/>
  <c r="O23" i="15"/>
  <c r="U1" i="15"/>
  <c r="T23" i="15"/>
  <c r="T34" i="15"/>
  <c r="T25" i="15"/>
  <c r="Z46" i="15"/>
  <c r="Z48" i="15"/>
  <c r="Z47" i="15"/>
  <c r="Z17" i="15"/>
  <c r="Z40" i="15"/>
  <c r="Z41" i="15"/>
  <c r="AK34" i="15"/>
  <c r="AK48" i="15"/>
  <c r="AL48" i="15" s="1"/>
  <c r="AM48" i="15" s="1"/>
  <c r="AN48" i="15" s="1"/>
  <c r="AO48" i="15" s="1"/>
  <c r="AP48" i="15" s="1"/>
  <c r="AQ48" i="15" s="1"/>
  <c r="AR48" i="15" s="1"/>
  <c r="AS48" i="15" s="1"/>
  <c r="AK46" i="15"/>
  <c r="AK23" i="15"/>
  <c r="AK25" i="15"/>
  <c r="AK40" i="15"/>
  <c r="AK41" i="15"/>
  <c r="AF1" i="15"/>
  <c r="AF17" i="15" s="1"/>
  <c r="AE46" i="15"/>
  <c r="AE47" i="15"/>
  <c r="AE48" i="15"/>
  <c r="AE41" i="15"/>
  <c r="AE40" i="15"/>
  <c r="P24" i="15"/>
  <c r="Q24" i="15" s="1"/>
  <c r="R24" i="15" s="1"/>
  <c r="S24" i="15" s="1"/>
  <c r="T24" i="15" s="1"/>
  <c r="U24" i="15" s="1"/>
  <c r="V24" i="15" s="1"/>
  <c r="W24" i="15" s="1"/>
  <c r="U40" i="15" l="1"/>
  <c r="U41" i="15"/>
  <c r="AR1" i="15"/>
  <c r="AQ34" i="15"/>
  <c r="AQ46" i="15"/>
  <c r="AQ25" i="15"/>
  <c r="AQ23" i="15"/>
  <c r="AQ41" i="15"/>
  <c r="AQ40" i="15"/>
  <c r="V1" i="15"/>
  <c r="U34" i="15"/>
  <c r="U25" i="15"/>
  <c r="U23" i="15"/>
  <c r="AG1" i="15"/>
  <c r="AG17" i="15" s="1"/>
  <c r="AH17" i="15" s="1"/>
  <c r="AF46" i="15"/>
  <c r="AF48" i="15"/>
  <c r="AF47" i="15"/>
  <c r="AF41" i="15"/>
  <c r="AF40" i="15"/>
  <c r="P22" i="15"/>
  <c r="Q22" i="15"/>
  <c r="R22" i="15" s="1"/>
  <c r="S22" i="15" s="1"/>
  <c r="T22" i="15" s="1"/>
  <c r="U22" i="15" s="1"/>
  <c r="V22" i="15" s="1"/>
  <c r="W22" i="15" s="1"/>
  <c r="P20" i="15"/>
  <c r="Q20" i="15" s="1"/>
  <c r="R20" i="15" s="1"/>
  <c r="S20" i="15" s="1"/>
  <c r="T20" i="15" s="1"/>
  <c r="U20" i="15" s="1"/>
  <c r="V20" i="15" s="1"/>
  <c r="W20" i="15" s="1"/>
  <c r="P19" i="15"/>
  <c r="Q19" i="15" s="1"/>
  <c r="R19" i="15" s="1"/>
  <c r="S19" i="15" s="1"/>
  <c r="T19" i="15" s="1"/>
  <c r="U19" i="15" s="1"/>
  <c r="V19" i="15" s="1"/>
  <c r="W19" i="15" s="1"/>
  <c r="V41" i="15" l="1"/>
  <c r="W41" i="15" s="1"/>
  <c r="V40" i="15"/>
  <c r="W40" i="15" s="1"/>
  <c r="AH1" i="15"/>
  <c r="AG46" i="15"/>
  <c r="AH46" i="15" s="1"/>
  <c r="AG48" i="15"/>
  <c r="AH48" i="15" s="1"/>
  <c r="AG47" i="15"/>
  <c r="AH47" i="15" s="1"/>
  <c r="AG40" i="15"/>
  <c r="AG41" i="15"/>
  <c r="W1" i="15"/>
  <c r="V23" i="15"/>
  <c r="V34" i="15"/>
  <c r="V25" i="15"/>
  <c r="AS1" i="15"/>
  <c r="AR23" i="15"/>
  <c r="AR34" i="15"/>
  <c r="AR46" i="15"/>
  <c r="AR25" i="15"/>
  <c r="AR41" i="15"/>
  <c r="AR40" i="15"/>
  <c r="P18" i="15"/>
  <c r="Q18" i="15" s="1"/>
  <c r="R18" i="15" s="1"/>
  <c r="S18" i="15" s="1"/>
  <c r="T18" i="15" s="1"/>
  <c r="U18" i="15" s="1"/>
  <c r="V18" i="15" s="1"/>
  <c r="W18" i="15" s="1"/>
  <c r="Q15" i="15"/>
  <c r="R15" i="15" s="1"/>
  <c r="S15" i="15" s="1"/>
  <c r="T15" i="15" s="1"/>
  <c r="U15" i="15" s="1"/>
  <c r="V15" i="15" s="1"/>
  <c r="W15" i="15" s="1"/>
  <c r="Q14" i="15"/>
  <c r="R14" i="15"/>
  <c r="S14" i="15" s="1"/>
  <c r="T14" i="15" s="1"/>
  <c r="U14" i="15" s="1"/>
  <c r="V14" i="15" s="1"/>
  <c r="W14" i="15" s="1"/>
  <c r="W34" i="15" l="1"/>
  <c r="W25" i="15"/>
  <c r="W23" i="15"/>
  <c r="AS34" i="15"/>
  <c r="AS23" i="15"/>
  <c r="AS46" i="15"/>
  <c r="AS25" i="15"/>
  <c r="AS41" i="15"/>
  <c r="AS40" i="15"/>
  <c r="AH40" i="15"/>
  <c r="AH41" i="15"/>
  <c r="P10" i="15"/>
  <c r="Q10" i="15" s="1"/>
  <c r="R10" i="15" s="1"/>
  <c r="S10" i="15" s="1"/>
  <c r="T10" i="15" s="1"/>
  <c r="U10" i="15" s="1"/>
  <c r="V10" i="15" s="1"/>
  <c r="W10" i="15" s="1"/>
  <c r="Q9" i="15" l="1"/>
  <c r="R9" i="15" s="1"/>
  <c r="S9" i="15" s="1"/>
  <c r="T9" i="15" s="1"/>
  <c r="U9" i="15" s="1"/>
  <c r="V9" i="15" s="1"/>
  <c r="W9" i="15" s="1"/>
  <c r="O49" i="15"/>
  <c r="P49" i="15" s="1"/>
  <c r="Q49" i="15" s="1"/>
  <c r="R49" i="15" s="1"/>
  <c r="S49" i="15" s="1"/>
  <c r="T49" i="15" s="1"/>
  <c r="U49" i="15" s="1"/>
  <c r="V49" i="15" s="1"/>
  <c r="W49" i="15" s="1"/>
  <c r="O47" i="15"/>
  <c r="P47" i="15" s="1"/>
  <c r="Q47" i="15" s="1"/>
  <c r="R47" i="15" s="1"/>
  <c r="S47" i="15" s="1"/>
  <c r="T47" i="15" s="1"/>
  <c r="U47" i="15" s="1"/>
  <c r="V47" i="15" s="1"/>
  <c r="W47" i="15" s="1"/>
  <c r="O45" i="15"/>
  <c r="P45" i="15" s="1"/>
  <c r="Q45" i="15" s="1"/>
  <c r="R45" i="15" s="1"/>
  <c r="S45" i="15" s="1"/>
  <c r="T45" i="15" s="1"/>
  <c r="U45" i="15" s="1"/>
  <c r="V45" i="15" s="1"/>
  <c r="W45" i="15" s="1"/>
  <c r="O37" i="15"/>
  <c r="P37" i="15" s="1"/>
  <c r="Q37" i="15" s="1"/>
  <c r="R37" i="15" s="1"/>
  <c r="S37" i="15" s="1"/>
  <c r="T37" i="15" s="1"/>
  <c r="U37" i="15" s="1"/>
  <c r="V37" i="15" s="1"/>
  <c r="W37" i="15" s="1"/>
  <c r="O35" i="15"/>
  <c r="P35" i="15" s="1"/>
  <c r="Q35" i="15" s="1"/>
  <c r="R35" i="15" s="1"/>
  <c r="S35" i="15" s="1"/>
  <c r="T35" i="15" s="1"/>
  <c r="U35" i="15" s="1"/>
  <c r="V35" i="15" s="1"/>
  <c r="W35" i="15" s="1"/>
  <c r="O32" i="15"/>
  <c r="P32" i="15" s="1"/>
  <c r="Q32" i="15" s="1"/>
  <c r="R32" i="15" s="1"/>
  <c r="S32" i="15" s="1"/>
  <c r="T32" i="15" s="1"/>
  <c r="U32" i="15" s="1"/>
  <c r="V32" i="15" s="1"/>
  <c r="W32" i="15" s="1"/>
  <c r="O29" i="15"/>
  <c r="P29" i="15" s="1"/>
  <c r="Q29" i="15" s="1"/>
  <c r="R29" i="15" s="1"/>
  <c r="S29" i="15" s="1"/>
  <c r="T29" i="15" s="1"/>
  <c r="U29" i="15" s="1"/>
  <c r="V29" i="15" s="1"/>
  <c r="W29" i="15" s="1"/>
  <c r="O28" i="15"/>
  <c r="P28" i="15" s="1"/>
  <c r="Q28" i="15" s="1"/>
  <c r="R28" i="15" s="1"/>
  <c r="S28" i="15" s="1"/>
  <c r="T28" i="15" s="1"/>
  <c r="U28" i="15" s="1"/>
  <c r="V28" i="15" s="1"/>
  <c r="W28" i="15" s="1"/>
  <c r="O21" i="15"/>
  <c r="P21" i="15" s="1"/>
  <c r="Q21" i="15" s="1"/>
  <c r="R21" i="15" s="1"/>
  <c r="S21" i="15" s="1"/>
  <c r="T21" i="15" s="1"/>
  <c r="U21" i="15" s="1"/>
  <c r="V21" i="15" s="1"/>
  <c r="W21" i="15" s="1"/>
  <c r="O17" i="15"/>
  <c r="P17" i="15" s="1"/>
  <c r="Q17" i="15" s="1"/>
  <c r="R17" i="15" s="1"/>
  <c r="S17" i="15" s="1"/>
  <c r="T17" i="15" s="1"/>
  <c r="U17" i="15" s="1"/>
  <c r="V17" i="15" s="1"/>
  <c r="W17" i="15" s="1"/>
  <c r="O16" i="15"/>
  <c r="P16" i="15" s="1"/>
  <c r="Q16" i="15" s="1"/>
  <c r="R16" i="15" s="1"/>
  <c r="S16" i="15" s="1"/>
  <c r="T16" i="15" s="1"/>
  <c r="U16" i="15" s="1"/>
  <c r="V16" i="15" s="1"/>
  <c r="W16" i="15" s="1"/>
  <c r="O13" i="15"/>
  <c r="Q13" i="15" s="1"/>
  <c r="R13" i="15" s="1"/>
  <c r="S13" i="15" s="1"/>
  <c r="T13" i="15" s="1"/>
  <c r="U13" i="15" s="1"/>
  <c r="V13" i="15" s="1"/>
  <c r="W13" i="15" s="1"/>
  <c r="O12" i="15"/>
  <c r="P12" i="15" s="1"/>
  <c r="Q12" i="15" s="1"/>
  <c r="R12" i="15" s="1"/>
  <c r="S12" i="15" s="1"/>
  <c r="T12" i="15" s="1"/>
  <c r="U12" i="15" s="1"/>
  <c r="V12" i="15" s="1"/>
  <c r="W12" i="15" s="1"/>
  <c r="O11" i="15"/>
  <c r="P11" i="15" s="1"/>
  <c r="Q11" i="15" s="1"/>
  <c r="R11" i="15" s="1"/>
  <c r="S11" i="15" s="1"/>
  <c r="T11" i="15" s="1"/>
  <c r="U11" i="15" s="1"/>
  <c r="V11" i="15" s="1"/>
  <c r="W11" i="15" s="1"/>
  <c r="O8" i="15"/>
  <c r="P8" i="15" s="1"/>
  <c r="Q8" i="15" s="1"/>
  <c r="R8" i="15" s="1"/>
  <c r="S8" i="15" s="1"/>
  <c r="T8" i="15" s="1"/>
  <c r="U8" i="15" s="1"/>
  <c r="V8" i="15" s="1"/>
  <c r="W8" i="15" s="1"/>
  <c r="O7" i="15"/>
  <c r="P7" i="15" s="1"/>
  <c r="Q7" i="15" s="1"/>
  <c r="R7" i="15" s="1"/>
  <c r="S7" i="15" s="1"/>
  <c r="T7" i="15" s="1"/>
  <c r="U7" i="15" s="1"/>
  <c r="V7" i="15" s="1"/>
  <c r="W7" i="15" s="1"/>
  <c r="O6" i="15"/>
  <c r="P6" i="15" s="1"/>
  <c r="Q6" i="15" s="1"/>
  <c r="R6" i="15" s="1"/>
  <c r="S6" i="15" s="1"/>
  <c r="T6" i="15" s="1"/>
  <c r="U6" i="15" s="1"/>
  <c r="V6" i="15" s="1"/>
  <c r="W6" i="15" s="1"/>
  <c r="O5" i="15"/>
  <c r="P5" i="15" s="1"/>
  <c r="Q5" i="15" s="1"/>
  <c r="R5" i="15" s="1"/>
  <c r="S5" i="15" s="1"/>
  <c r="T5" i="15" s="1"/>
  <c r="U5" i="15" s="1"/>
  <c r="V5" i="15" s="1"/>
  <c r="W5" i="15" s="1"/>
  <c r="D41" i="15"/>
  <c r="E41" i="15" s="1"/>
  <c r="F41" i="15" s="1"/>
  <c r="G41" i="15" s="1"/>
  <c r="H41" i="15" s="1"/>
  <c r="I41" i="15" s="1"/>
  <c r="J41" i="15" s="1"/>
  <c r="K41" i="15" s="1"/>
  <c r="L41" i="15" s="1"/>
  <c r="D36" i="15"/>
  <c r="E36" i="15" s="1"/>
  <c r="F36" i="15" s="1"/>
  <c r="G36" i="15" s="1"/>
  <c r="H36" i="15" s="1"/>
  <c r="I36" i="15" s="1"/>
  <c r="J36" i="15" s="1"/>
  <c r="K36" i="15" s="1"/>
  <c r="L36" i="15" s="1"/>
  <c r="D46" i="15"/>
  <c r="E46" i="15" s="1"/>
  <c r="F46" i="15" s="1"/>
  <c r="G46" i="15" s="1"/>
  <c r="H46" i="15" s="1"/>
  <c r="I46" i="15" s="1"/>
  <c r="J46" i="15" s="1"/>
  <c r="K46" i="15" s="1"/>
  <c r="L46" i="15" s="1"/>
  <c r="D26" i="15"/>
  <c r="E26" i="15" s="1"/>
  <c r="F26" i="15" s="1"/>
  <c r="G26" i="15" s="1"/>
  <c r="H26" i="15" s="1"/>
  <c r="I26" i="15" s="1"/>
  <c r="J26" i="15" s="1"/>
  <c r="K26" i="15" s="1"/>
  <c r="L26" i="15" s="1"/>
  <c r="D25" i="15"/>
  <c r="E25" i="15" s="1"/>
  <c r="F25" i="15" s="1"/>
  <c r="G25" i="15" s="1"/>
  <c r="H25" i="15" s="1"/>
  <c r="I25" i="15" s="1"/>
  <c r="J25" i="15" s="1"/>
  <c r="K25" i="15" s="1"/>
  <c r="L25" i="15" s="1"/>
  <c r="D20" i="15"/>
  <c r="E20" i="15" s="1"/>
  <c r="F20" i="15" s="1"/>
  <c r="G20" i="15" s="1"/>
  <c r="H20" i="15" s="1"/>
  <c r="I20" i="15" s="1"/>
  <c r="J20" i="15" s="1"/>
  <c r="K20" i="15" s="1"/>
  <c r="L20" i="15" s="1"/>
  <c r="E19" i="15"/>
  <c r="F19" i="15" s="1"/>
  <c r="G19" i="15" s="1"/>
  <c r="H19" i="15" s="1"/>
  <c r="I19" i="15" s="1"/>
  <c r="J19" i="15" s="1"/>
  <c r="K19" i="15" s="1"/>
  <c r="L19" i="15" s="1"/>
  <c r="D18" i="15"/>
  <c r="E18" i="15" s="1"/>
  <c r="F18" i="15" s="1"/>
  <c r="G18" i="15" s="1"/>
  <c r="H18" i="15" s="1"/>
  <c r="I18" i="15" s="1"/>
  <c r="J18" i="15" s="1"/>
  <c r="K18" i="15" s="1"/>
  <c r="L18" i="15" s="1"/>
  <c r="D15" i="15"/>
  <c r="E15" i="15" s="1"/>
  <c r="F15" i="15" s="1"/>
  <c r="G15" i="15" s="1"/>
  <c r="H15" i="15" s="1"/>
  <c r="I15" i="15" s="1"/>
  <c r="J15" i="15" s="1"/>
  <c r="K15" i="15" s="1"/>
  <c r="L15" i="15" s="1"/>
  <c r="F49" i="15"/>
  <c r="G49" i="15" s="1"/>
  <c r="H49" i="15" s="1"/>
  <c r="I49" i="15" s="1"/>
  <c r="J49" i="15" s="1"/>
  <c r="K49" i="15" s="1"/>
  <c r="L49" i="15" s="1"/>
  <c r="F47" i="15"/>
  <c r="G47" i="15" s="1"/>
  <c r="H47" i="15" s="1"/>
  <c r="I47" i="15" s="1"/>
  <c r="J47" i="15" s="1"/>
  <c r="K47" i="15" s="1"/>
  <c r="L47" i="15" s="1"/>
  <c r="F45" i="15"/>
  <c r="G45" i="15" s="1"/>
  <c r="H45" i="15" s="1"/>
  <c r="I45" i="15" s="1"/>
  <c r="J45" i="15" s="1"/>
  <c r="K45" i="15" s="1"/>
  <c r="L45" i="15" s="1"/>
  <c r="F37" i="15"/>
  <c r="G37" i="15" s="1"/>
  <c r="H37" i="15" s="1"/>
  <c r="I37" i="15" s="1"/>
  <c r="J37" i="15" s="1"/>
  <c r="K37" i="15" s="1"/>
  <c r="L37" i="15" s="1"/>
  <c r="F35" i="15"/>
  <c r="G35" i="15" s="1"/>
  <c r="H35" i="15" s="1"/>
  <c r="I35" i="15" s="1"/>
  <c r="J35" i="15" s="1"/>
  <c r="K35" i="15" s="1"/>
  <c r="L35" i="15" s="1"/>
  <c r="F32" i="15"/>
  <c r="G32" i="15" s="1"/>
  <c r="H32" i="15" s="1"/>
  <c r="I32" i="15" s="1"/>
  <c r="J32" i="15" s="1"/>
  <c r="K32" i="15" s="1"/>
  <c r="L32" i="15" s="1"/>
  <c r="F29" i="15"/>
  <c r="G29" i="15" s="1"/>
  <c r="H29" i="15" s="1"/>
  <c r="I29" i="15" s="1"/>
  <c r="J29" i="15" s="1"/>
  <c r="K29" i="15" s="1"/>
  <c r="L29" i="15" s="1"/>
  <c r="F28" i="15"/>
  <c r="G28" i="15" s="1"/>
  <c r="H28" i="15" s="1"/>
  <c r="I28" i="15" s="1"/>
  <c r="J28" i="15" s="1"/>
  <c r="K28" i="15" s="1"/>
  <c r="L28" i="15" s="1"/>
  <c r="D21" i="15"/>
  <c r="E21" i="15" s="1"/>
  <c r="F21" i="15" s="1"/>
  <c r="G21" i="15" s="1"/>
  <c r="H21" i="15" s="1"/>
  <c r="I21" i="15" s="1"/>
  <c r="J21" i="15" s="1"/>
  <c r="K21" i="15" s="1"/>
  <c r="L21" i="15" s="1"/>
  <c r="E17" i="15"/>
  <c r="F17" i="15" s="1"/>
  <c r="G17" i="15" s="1"/>
  <c r="H17" i="15" s="1"/>
  <c r="I17" i="15" s="1"/>
  <c r="J17" i="15" s="1"/>
  <c r="K17" i="15" s="1"/>
  <c r="L17" i="15" s="1"/>
  <c r="F16" i="15"/>
  <c r="G16" i="15" s="1"/>
  <c r="H16" i="15" s="1"/>
  <c r="I16" i="15" s="1"/>
  <c r="J16" i="15" s="1"/>
  <c r="K16" i="15" s="1"/>
  <c r="L16" i="15" s="1"/>
  <c r="J13" i="15"/>
  <c r="K13" i="15" s="1"/>
  <c r="L13" i="15" s="1"/>
  <c r="J12" i="15"/>
  <c r="K12" i="15" s="1"/>
  <c r="L12" i="15" s="1"/>
  <c r="J11" i="15"/>
  <c r="K11" i="15" s="1"/>
  <c r="L11" i="15" s="1"/>
  <c r="J8" i="15"/>
  <c r="K8" i="15" s="1"/>
  <c r="L8" i="15" s="1"/>
  <c r="J7" i="15"/>
  <c r="K7" i="15" s="1"/>
  <c r="L7" i="15" s="1"/>
  <c r="J6" i="15"/>
  <c r="K6" i="15" s="1"/>
  <c r="L6" i="15" s="1"/>
  <c r="J5" i="15"/>
  <c r="K5" i="15" s="1"/>
  <c r="L5" i="15" s="1"/>
  <c r="M6" i="15" l="1"/>
  <c r="X6" i="15" s="1"/>
  <c r="AI6" i="15" s="1"/>
  <c r="M7" i="15"/>
  <c r="X7" i="15" s="1"/>
  <c r="AI7" i="15" s="1"/>
  <c r="M8" i="15"/>
  <c r="X8" i="15" s="1"/>
  <c r="AI8" i="15" s="1"/>
  <c r="M9" i="15"/>
  <c r="X9" i="15" s="1"/>
  <c r="AI9" i="15" s="1"/>
  <c r="M10" i="15"/>
  <c r="X10" i="15" s="1"/>
  <c r="AI10" i="15" s="1"/>
  <c r="M11" i="15"/>
  <c r="X11" i="15" s="1"/>
  <c r="AI11" i="15" s="1"/>
  <c r="M12" i="15"/>
  <c r="X12" i="15" s="1"/>
  <c r="AI12" i="15" s="1"/>
  <c r="M13" i="15"/>
  <c r="X13" i="15" s="1"/>
  <c r="M14" i="15"/>
  <c r="X14" i="15" s="1"/>
  <c r="AI14" i="15" s="1"/>
  <c r="M15" i="15"/>
  <c r="X15" i="15" s="1"/>
  <c r="AI15" i="15" s="1"/>
  <c r="M16" i="15"/>
  <c r="X16" i="15" s="1"/>
  <c r="AI16" i="15" s="1"/>
  <c r="M17" i="15"/>
  <c r="X17" i="15" s="1"/>
  <c r="AI17" i="15" s="1"/>
  <c r="M18" i="15"/>
  <c r="X18" i="15" s="1"/>
  <c r="AI18" i="15" s="1"/>
  <c r="M19" i="15"/>
  <c r="X19" i="15" s="1"/>
  <c r="AI19" i="15" s="1"/>
  <c r="M20" i="15"/>
  <c r="X20" i="15" s="1"/>
  <c r="AI20" i="15" s="1"/>
  <c r="M21" i="15"/>
  <c r="X21" i="15" s="1"/>
  <c r="AI21" i="15" s="1"/>
  <c r="M22" i="15"/>
  <c r="X22" i="15" s="1"/>
  <c r="AI22" i="15" s="1"/>
  <c r="M23" i="15"/>
  <c r="X23" i="15" s="1"/>
  <c r="AI23" i="15" s="1"/>
  <c r="M24" i="15"/>
  <c r="X24" i="15" s="1"/>
  <c r="AI24" i="15" s="1"/>
  <c r="M25" i="15"/>
  <c r="X25" i="15" s="1"/>
  <c r="AI25" i="15" s="1"/>
  <c r="M26" i="15"/>
  <c r="X26" i="15" s="1"/>
  <c r="AI26" i="15" s="1"/>
  <c r="M27" i="15"/>
  <c r="X27" i="15" s="1"/>
  <c r="AI27" i="15" s="1"/>
  <c r="M28" i="15"/>
  <c r="X28" i="15" s="1"/>
  <c r="AI28" i="15" s="1"/>
  <c r="M29" i="15"/>
  <c r="X29" i="15" s="1"/>
  <c r="AI29" i="15" s="1"/>
  <c r="M30" i="15"/>
  <c r="X30" i="15" s="1"/>
  <c r="AI30" i="15" s="1"/>
  <c r="M31" i="15"/>
  <c r="X31" i="15" s="1"/>
  <c r="AI31" i="15" s="1"/>
  <c r="M32" i="15"/>
  <c r="X32" i="15" s="1"/>
  <c r="AI32" i="15" s="1"/>
  <c r="M33" i="15"/>
  <c r="X33" i="15" s="1"/>
  <c r="AI33" i="15" s="1"/>
  <c r="M34" i="15"/>
  <c r="X34" i="15" s="1"/>
  <c r="AI34" i="15" s="1"/>
  <c r="M35" i="15"/>
  <c r="X35" i="15" s="1"/>
  <c r="AI35" i="15" s="1"/>
  <c r="M36" i="15"/>
  <c r="X36" i="15" s="1"/>
  <c r="AI36" i="15" s="1"/>
  <c r="M37" i="15"/>
  <c r="X37" i="15" s="1"/>
  <c r="AI37" i="15" s="1"/>
  <c r="M38" i="15"/>
  <c r="X38" i="15" s="1"/>
  <c r="AI38" i="15" s="1"/>
  <c r="M39" i="15"/>
  <c r="X39" i="15" s="1"/>
  <c r="AI39" i="15" s="1"/>
  <c r="M40" i="15"/>
  <c r="X40" i="15" s="1"/>
  <c r="AI40" i="15" s="1"/>
  <c r="M41" i="15"/>
  <c r="X41" i="15" s="1"/>
  <c r="AI41" i="15" s="1"/>
  <c r="M42" i="15"/>
  <c r="X42" i="15" s="1"/>
  <c r="AI42" i="15" s="1"/>
  <c r="M43" i="15"/>
  <c r="X43" i="15" s="1"/>
  <c r="AI43" i="15" s="1"/>
  <c r="M44" i="15"/>
  <c r="X44" i="15" s="1"/>
  <c r="AI44" i="15" s="1"/>
  <c r="M45" i="15"/>
  <c r="X45" i="15" s="1"/>
  <c r="AI45" i="15" s="1"/>
  <c r="M46" i="15"/>
  <c r="X46" i="15" s="1"/>
  <c r="AI46" i="15" s="1"/>
  <c r="M47" i="15"/>
  <c r="X47" i="15" s="1"/>
  <c r="AI47" i="15" s="1"/>
  <c r="M49" i="15"/>
  <c r="X49" i="15" s="1"/>
  <c r="AI49" i="15" s="1"/>
  <c r="M5" i="15"/>
  <c r="X5" i="15" s="1"/>
  <c r="AI5" i="15" l="1"/>
  <c r="AI13" i="15"/>
  <c r="G20" i="13" l="1"/>
  <c r="H20" i="13" s="1"/>
  <c r="I20" i="13" s="1"/>
  <c r="J20" i="13" s="1"/>
  <c r="K20" i="13" s="1"/>
  <c r="L20" i="13" s="1"/>
  <c r="G19" i="13" l="1"/>
  <c r="H19" i="13" s="1"/>
  <c r="I19" i="13" s="1"/>
  <c r="J19" i="13" s="1"/>
  <c r="K19" i="13" s="1"/>
  <c r="L19" i="13" s="1"/>
  <c r="E19" i="13"/>
  <c r="H6" i="13" l="1"/>
  <c r="I6" i="13" s="1"/>
  <c r="J6" i="13" s="1"/>
  <c r="K6" i="13" s="1"/>
  <c r="L6" i="13" s="1"/>
  <c r="H7" i="13"/>
  <c r="I7" i="13" s="1"/>
  <c r="J7" i="13" s="1"/>
  <c r="K7" i="13" s="1"/>
  <c r="L7" i="13" s="1"/>
  <c r="H9" i="13"/>
  <c r="I9" i="13"/>
  <c r="J9" i="13" s="1"/>
  <c r="K9" i="13" s="1"/>
  <c r="L9" i="13" s="1"/>
  <c r="H10" i="13"/>
  <c r="I10" i="13" s="1"/>
  <c r="J10" i="13" s="1"/>
  <c r="K10" i="13" s="1"/>
  <c r="L10" i="13" s="1"/>
  <c r="H11" i="13"/>
  <c r="I11" i="13" s="1"/>
  <c r="J11" i="13" s="1"/>
  <c r="K11" i="13" s="1"/>
  <c r="L11" i="13" s="1"/>
  <c r="H12" i="13"/>
  <c r="I12" i="13" s="1"/>
  <c r="J12" i="13" s="1"/>
  <c r="K12" i="13" s="1"/>
  <c r="L12" i="13" s="1"/>
  <c r="G4" i="13"/>
  <c r="H4" i="13" s="1"/>
  <c r="I4" i="13" s="1"/>
  <c r="J4" i="13" s="1"/>
  <c r="K4" i="13" s="1"/>
  <c r="L4" i="13" s="1"/>
  <c r="G5" i="13"/>
  <c r="H5" i="13" s="1"/>
  <c r="I5" i="13" s="1"/>
  <c r="J5" i="13" s="1"/>
  <c r="G6" i="13"/>
  <c r="G7" i="13"/>
  <c r="G8" i="13"/>
  <c r="H8" i="13" s="1"/>
  <c r="I8" i="13" s="1"/>
  <c r="J8" i="13" s="1"/>
  <c r="K8" i="13" s="1"/>
  <c r="L8" i="13" s="1"/>
  <c r="G9" i="13"/>
  <c r="G10" i="13"/>
  <c r="G11" i="13"/>
  <c r="G12" i="13"/>
  <c r="G13" i="13"/>
  <c r="H13" i="13" s="1"/>
  <c r="I13" i="13" s="1"/>
  <c r="J13" i="13" s="1"/>
  <c r="K13" i="13" s="1"/>
  <c r="L13" i="13" s="1"/>
  <c r="G14" i="13"/>
  <c r="H14" i="13" s="1"/>
  <c r="I14" i="13" s="1"/>
  <c r="J14" i="13" s="1"/>
  <c r="K14" i="13" s="1"/>
  <c r="L14" i="13" s="1"/>
  <c r="G16" i="13"/>
  <c r="G17" i="13"/>
  <c r="H17" i="13" s="1"/>
  <c r="G18" i="13"/>
  <c r="H18" i="13" s="1"/>
  <c r="I18" i="13" s="1"/>
  <c r="J18" i="13" s="1"/>
  <c r="K18" i="13" s="1"/>
  <c r="L18" i="13" s="1"/>
  <c r="G21" i="13"/>
  <c r="G3" i="13"/>
  <c r="H3" i="13" s="1"/>
  <c r="I3" i="13" s="1"/>
  <c r="J3" i="13" s="1"/>
  <c r="K3" i="13" s="1"/>
  <c r="L3" i="13" s="1"/>
  <c r="K5" i="13" l="1"/>
  <c r="L5" i="13" s="1"/>
  <c r="I17" i="13"/>
  <c r="H16" i="13"/>
  <c r="I16" i="13" s="1"/>
  <c r="J16" i="13" s="1"/>
  <c r="K16" i="13" s="1"/>
  <c r="L16" i="13" s="1"/>
  <c r="H21" i="13"/>
  <c r="I21" i="13" l="1"/>
  <c r="J17" i="13"/>
  <c r="K17" i="13" l="1"/>
  <c r="J21" i="13"/>
  <c r="L17" i="13" l="1"/>
  <c r="K21" i="13"/>
  <c r="L21" i="13" l="1"/>
  <c r="E18" i="13" l="1"/>
  <c r="E17" i="13"/>
  <c r="E16" i="13"/>
  <c r="E14" i="13"/>
  <c r="E13" i="13"/>
  <c r="E12" i="13"/>
  <c r="E11" i="13"/>
  <c r="E7" i="13"/>
  <c r="E6" i="13"/>
  <c r="E5" i="13"/>
  <c r="E4" i="13"/>
  <c r="AU36" i="20"/>
  <c r="AU38" i="20" s="1"/>
  <c r="AW36" i="20"/>
  <c r="AW38" i="20" s="1"/>
  <c r="AV36" i="20"/>
  <c r="AV38" i="20" s="1"/>
  <c r="AT36" i="20"/>
  <c r="AT38" i="20" s="1"/>
  <c r="AX36" i="20"/>
  <c r="AX38" i="20" s="1"/>
  <c r="AS36" i="20"/>
  <c r="AS38" i="20" s="1"/>
  <c r="AN25" i="20"/>
  <c r="AN1" i="20" s="1"/>
  <c r="AN36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DELABORDE Patrick</author>
    <author>tc={25F96A30-7A91-4439-B032-E892D46CFEA5}</author>
    <author>tc={E4532725-5BB4-4C84-A813-EF8FDE84D0E1}</author>
    <author>tc={40EDFFDB-5AD9-46B5-A36B-748738BCC6AF}</author>
    <author>tc={1BEF6E46-6D10-4893-9B65-F7E97D44DA42}</author>
    <author>tc={9779AA6F-0894-487A-8145-783509C205CD}</author>
  </authors>
  <commentList>
    <comment ref="C5" authorId="0" shapeId="0" xr:uid="{E8AD1706-1ACC-45D1-B50C-B10181B5D6B6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Dont 367 tonnes Pamiers.</t>
        </r>
      </text>
    </comment>
    <comment ref="C8" authorId="0" shapeId="0" xr:uid="{5D38DA3C-1A41-45E1-8CDB-3B971BDAF2A8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Prev Pamiers 10 /6, 81 tonnes</t>
        </r>
      </text>
    </comment>
    <comment ref="C19" authorId="0" shapeId="0" xr:uid="{9E3A5682-1EF3-4898-AFB2-A82340ECBE4C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Selon Call du 17/6/2020 avec Ingo Siller et Clemens Vichytil.</t>
        </r>
      </text>
    </comment>
    <comment ref="A21" authorId="1" shapeId="0" xr:uid="{25F96A30-7A91-4439-B032-E892D46CFEA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peut être servi avec Lingot UKTMP</t>
      </text>
    </comment>
    <comment ref="C23" authorId="0" shapeId="0" xr:uid="{2C6A8E5F-B1FC-4AF1-8CFB-704F53620324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Selon discussion avec Arnaud</t>
        </r>
      </text>
    </comment>
    <comment ref="C25" authorId="0" shapeId="0" xr:uid="{A1816F45-47B4-4549-81AE-152255AD4698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AEQUS, HAL, Transpart,…
</t>
        </r>
      </text>
    </comment>
    <comment ref="C28" authorId="0" shapeId="0" xr:uid="{7E9DE08E-278E-4B3D-AA56-7541CD101EDC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A risque
</t>
        </r>
      </text>
    </comment>
    <comment ref="Q28" authorId="2" shapeId="0" xr:uid="{E4532725-5BB4-4C84-A813-EF8FDE84D0E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Etre prêt</t>
      </text>
    </comment>
    <comment ref="AR28" authorId="3" shapeId="0" xr:uid="{40EDFFDB-5AD9-46B5-A36B-748738BCC6A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utilisation stock UKAD 21 tonnes au 6/7/20</t>
      </text>
    </comment>
    <comment ref="A29" authorId="4" shapeId="0" xr:uid="{1BEF6E46-6D10-4893-9B65-F7E97D44DA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UKTMP possible</t>
      </text>
    </comment>
    <comment ref="C29" authorId="0" shapeId="0" xr:uid="{19396CA5-2CA8-467E-BB04-71EF66A6A828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Objectif Réseau hors IFA : 150 t
Proposition Budget : 100 t.
</t>
        </r>
      </text>
    </comment>
    <comment ref="C34" authorId="0" shapeId="0" xr:uid="{7EE1004A-B5F7-432F-A39B-85B5F77E0671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Programme en cours d'arrêt, basculement et COVID.</t>
        </r>
      </text>
    </comment>
    <comment ref="C35" authorId="0" shapeId="0" xr:uid="{6B1E1975-5109-48B0-92F8-C3E331F7F206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Il n'y a pas les volumes Airbus pour y aller seul. Budget à 0 en attente de clarification Airbus sur programme de qualif.</t>
        </r>
      </text>
    </comment>
    <comment ref="A39" authorId="5" shapeId="0" xr:uid="{9779AA6F-0894-487A-8145-783509C205C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Toute affectation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DELABORDE Patrick</author>
    <author>tc={BB65827D-E4E7-49A6-8462-1EE60A6E0C64}</author>
    <author>tc={18730343-246F-4D2C-97B8-0F841A44A4B7}</author>
    <author>tc={0CA66F07-2CC1-4D8B-8B88-A613750FEC99}</author>
    <author>tc={10A4D237-B2D8-4CAE-8D4D-F19BDF1EED40}</author>
    <author>tc={13FC0180-A6F2-410A-9ECB-2CB8A3921F04}</author>
  </authors>
  <commentList>
    <comment ref="C5" authorId="0" shapeId="0" xr:uid="{614B362A-8547-4A1D-A7E2-07D5B606FA05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Dont 367 tonnes Pamiers.</t>
        </r>
      </text>
    </comment>
    <comment ref="C8" authorId="0" shapeId="0" xr:uid="{66675973-6606-45C1-B717-D475C6B98A70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Prev Pamiers 10 /6, 81 tonnes</t>
        </r>
      </text>
    </comment>
    <comment ref="C19" authorId="0" shapeId="0" xr:uid="{3B334E2F-ED0E-4E59-B483-6DBEFC887FE2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Selon Call du 17/6/2020 avec Ingo Siller et Clemens Vichytil.</t>
        </r>
      </text>
    </comment>
    <comment ref="A21" authorId="1" shapeId="0" xr:uid="{BB65827D-E4E7-49A6-8462-1EE60A6E0C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peut être servi avec Lingot UKTMP</t>
      </text>
    </comment>
    <comment ref="C23" authorId="0" shapeId="0" xr:uid="{6F52FE7A-6630-4D04-9973-7D7CB95870F7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Selon discussion avec Arnaud</t>
        </r>
      </text>
    </comment>
    <comment ref="C25" authorId="0" shapeId="0" xr:uid="{8301AE0A-263B-45B1-9EEA-79B1AA6CC0D2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AEQUS, HAL, Transpart,…
</t>
        </r>
      </text>
    </comment>
    <comment ref="C28" authorId="0" shapeId="0" xr:uid="{80E13FF6-15AF-4D65-A7A0-5C332E8DBBE0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A risque
</t>
        </r>
      </text>
    </comment>
    <comment ref="Q28" authorId="2" shapeId="0" xr:uid="{18730343-246F-4D2C-97B8-0F841A44A4B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Etre prêt</t>
      </text>
    </comment>
    <comment ref="AQ28" authorId="3" shapeId="0" xr:uid="{0CA66F07-2CC1-4D8B-8B88-A613750FEC9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utilisation stock UKAD 21 tonnes au 6/7/20</t>
      </text>
    </comment>
    <comment ref="A29" authorId="4" shapeId="0" xr:uid="{10A4D237-B2D8-4CAE-8D4D-F19BDF1EED4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UKTMP possible</t>
      </text>
    </comment>
    <comment ref="C29" authorId="0" shapeId="0" xr:uid="{8D2AF7E8-4F89-4A71-9982-B5240DB66604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Objectif Réseau hors IFA : 150 t
Proposition Budget : 100 t.
</t>
        </r>
      </text>
    </comment>
    <comment ref="C34" authorId="0" shapeId="0" xr:uid="{1128AF58-9AA2-4577-93E0-FD513C0CD4E2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Programme en cours d'arrêt, basculement et COVID.</t>
        </r>
      </text>
    </comment>
    <comment ref="C35" authorId="0" shapeId="0" xr:uid="{16FCE156-861C-4E09-97EB-2BF7CD0DC699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Il n'y a pas les volumes Airbus pour y aller seul. Budget à 0 en attente de clarification Airbus sur programme de qualif.</t>
        </r>
      </text>
    </comment>
    <comment ref="A39" authorId="5" shapeId="0" xr:uid="{13FC0180-A6F2-410A-9ECB-2CB8A3921F0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Toute affectation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DELABORDE Patrick</author>
    <author>tc={7F6E7725-BE15-4AB3-B7A5-E77D2E5FD5F7}</author>
    <author>tc={016E4C12-6A15-48AF-9E3B-6CA54EBDA88C}</author>
    <author>tc={8F3B7633-CC2C-42B3-8241-8D3374A0E456}</author>
    <author>tc={82D8E15D-EC24-444E-8918-5A9D23882670}</author>
    <author>tc={89A8B0A4-0594-4CB7-9DB6-A8BE362AF7D8}</author>
  </authors>
  <commentList>
    <comment ref="C5" authorId="0" shapeId="0" xr:uid="{CE95AEAC-51F7-4FDD-BF8E-45C54FB4E51A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Dont 367 tonnes Pamiers.</t>
        </r>
      </text>
    </comment>
    <comment ref="C8" authorId="0" shapeId="0" xr:uid="{64FE711C-9B72-470B-A5C7-E9B07ED2E891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Prev Pamiers 10 /6, 81 tonnes</t>
        </r>
      </text>
    </comment>
    <comment ref="C19" authorId="0" shapeId="0" xr:uid="{0E44D98F-09B9-44E8-B521-399A0CBAFA43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Selon Call du 17/6/2020 avec Ingo Siller et Clemens Vichytil.</t>
        </r>
      </text>
    </comment>
    <comment ref="A21" authorId="1" shapeId="0" xr:uid="{7F6E7725-BE15-4AB3-B7A5-E77D2E5FD5F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peut être servi avec Lingot UKTMP</t>
      </text>
    </comment>
    <comment ref="C23" authorId="0" shapeId="0" xr:uid="{7E0F510E-160C-41A0-82B7-14B863308C25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Selon discussion avec Arnaud</t>
        </r>
      </text>
    </comment>
    <comment ref="C25" authorId="0" shapeId="0" xr:uid="{FE2D214B-F3E1-4283-99E5-B85A2EFCD61C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AEQUS, HAL, Transpart,…
</t>
        </r>
      </text>
    </comment>
    <comment ref="C28" authorId="0" shapeId="0" xr:uid="{2F973454-34B3-40D8-BBD0-36AC8B46ACFE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A risque
</t>
        </r>
      </text>
    </comment>
    <comment ref="Q28" authorId="2" shapeId="0" xr:uid="{016E4C12-6A15-48AF-9E3B-6CA54EBDA8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Etre prêt</t>
      </text>
    </comment>
    <comment ref="AQ28" authorId="3" shapeId="0" xr:uid="{8F3B7633-CC2C-42B3-8241-8D3374A0E45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utilisation stock UKAD 21 tonnes au 6/7/20</t>
      </text>
    </comment>
    <comment ref="A29" authorId="4" shapeId="0" xr:uid="{82D8E15D-EC24-444E-8918-5A9D2388267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UKTMP possible</t>
      </text>
    </comment>
    <comment ref="C29" authorId="0" shapeId="0" xr:uid="{1BFFAC5E-18A6-43BD-AA5D-3C879E9FA497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Objectif Réseau hors IFA : 150 t
Proposition Budget : 100 t.
</t>
        </r>
      </text>
    </comment>
    <comment ref="C34" authorId="0" shapeId="0" xr:uid="{5DD8E43D-1A46-4CC3-97E8-C203F2216AC1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Programme en cours d'arrêt, basculement et COVID.</t>
        </r>
      </text>
    </comment>
    <comment ref="C35" authorId="0" shapeId="0" xr:uid="{C8D94724-7CC6-46F7-AD75-C79628D508CB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Il n'y a pas les volumes Airbus pour y aller seul. Budget à 0 en attente de clarification Airbus sur programme de qualif.</t>
        </r>
      </text>
    </comment>
    <comment ref="A39" authorId="5" shapeId="0" xr:uid="{89A8B0A4-0594-4CB7-9DB6-A8BE362AF7D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Toute affectation</t>
      </text>
    </comment>
  </commentList>
</comments>
</file>

<file path=xl/sharedStrings.xml><?xml version="1.0" encoding="utf-8"?>
<sst xmlns="http://schemas.openxmlformats.org/spreadsheetml/2006/main" count="629" uniqueCount="227">
  <si>
    <t>Airbus Fasteners</t>
  </si>
  <si>
    <t>Bombardier via AD</t>
  </si>
  <si>
    <t>Comac via AD</t>
  </si>
  <si>
    <t>Otto Fuchs</t>
  </si>
  <si>
    <t>Autres Clients hors Airbus</t>
  </si>
  <si>
    <t>Stockistes, standard</t>
  </si>
  <si>
    <t>Safran 6-4 DQ</t>
  </si>
  <si>
    <t>RR DQ</t>
  </si>
  <si>
    <t>Barres à Aubes Energie</t>
  </si>
  <si>
    <t>EcoTi Fasteners Interne</t>
  </si>
  <si>
    <t>Médical Stainless ACNIS AD</t>
  </si>
  <si>
    <t>Safran 6-4 Safran LS</t>
  </si>
  <si>
    <t>MCC Trunnion Global 700 Pamiers</t>
  </si>
  <si>
    <t>Industriel vente lingots TA6V</t>
  </si>
  <si>
    <t>Hemisphères Indiens, spatial et défense</t>
  </si>
  <si>
    <t xml:space="preserve">Airbus Nouveau développements EcoTitanium </t>
  </si>
  <si>
    <t>Liebherr</t>
  </si>
  <si>
    <t>DP AMS 4928 + Industriel</t>
  </si>
  <si>
    <t>Safran 6-4 Aero Booster EcoTi</t>
  </si>
  <si>
    <t>Safran 6-4 Aero Booster UKTMP</t>
  </si>
  <si>
    <t>Industriel vente lingots CP</t>
  </si>
  <si>
    <t>Forgital 6-4 couronnes aéro Safran ou RR</t>
  </si>
  <si>
    <t xml:space="preserve">Setforge </t>
  </si>
  <si>
    <t>Airbus Billettes</t>
  </si>
  <si>
    <t>RR Std Billettes</t>
  </si>
  <si>
    <t>RR STd Bingots</t>
  </si>
  <si>
    <t>Plymouth Hors Airbus, UAC, CEFIVAL</t>
  </si>
  <si>
    <t>Fondeurs type DMD 779 ou équivalent</t>
  </si>
  <si>
    <t>Airbus Extrusion</t>
  </si>
  <si>
    <t>Optimisations / protections Airbus</t>
  </si>
  <si>
    <t>DF Spirit lingot UKTMP (30/70)</t>
  </si>
  <si>
    <t>DF Spirit lingot EcoTi (70/30)</t>
  </si>
  <si>
    <t>Bohler B brame pour tôles Aero</t>
  </si>
  <si>
    <t>Bohler B brame pour tôles gr 23</t>
  </si>
  <si>
    <t>Bohler B brame pour tôles gr 4</t>
  </si>
  <si>
    <t>Bohler B brame pour tôles Défense US (DFAS)</t>
  </si>
  <si>
    <t>Vérif avec Philippe le 2/7/2019</t>
  </si>
  <si>
    <t>OF et devis</t>
  </si>
  <si>
    <t>Poids</t>
  </si>
  <si>
    <t>Temps forgeage brut</t>
  </si>
  <si>
    <t>Plat Pamiers</t>
  </si>
  <si>
    <t>Plat WG</t>
  </si>
  <si>
    <t>Bloom forge</t>
  </si>
  <si>
    <t>Slab Beta</t>
  </si>
  <si>
    <t>Slab Apha beta</t>
  </si>
  <si>
    <t>Rond Titane Laminé Ø100-150</t>
  </si>
  <si>
    <t>Rond Titane Ø125-150</t>
  </si>
  <si>
    <t>Rond Titane Ø180 Beta - SMX</t>
  </si>
  <si>
    <t>Rond Titane Ø180-220 SMX</t>
  </si>
  <si>
    <t>Rond Titane Ø180-220</t>
  </si>
  <si>
    <t>Rond Titane Ø240-280</t>
  </si>
  <si>
    <t>Rond Titane Ø330</t>
  </si>
  <si>
    <t>Rond Titane Ø430</t>
  </si>
  <si>
    <t>Bingots</t>
  </si>
  <si>
    <t>Airbus Plats Pamiers</t>
  </si>
  <si>
    <t>Airbus Plats WG</t>
  </si>
  <si>
    <t>Rattrapage Année N-1</t>
  </si>
  <si>
    <t>Famille Commerciale</t>
  </si>
  <si>
    <t>Famille Technique</t>
  </si>
  <si>
    <t>Bloom forge + Blooming</t>
  </si>
  <si>
    <t>Lingots</t>
  </si>
  <si>
    <t>Somme de TotalYearlyQuantity</t>
  </si>
  <si>
    <t>Étiquettes de colonnes</t>
  </si>
  <si>
    <t>Étiquettes de lignes</t>
  </si>
  <si>
    <t>Total général</t>
  </si>
  <si>
    <t>Arconic</t>
  </si>
  <si>
    <t>Aubert &amp; Duval</t>
  </si>
  <si>
    <t>Böhler</t>
  </si>
  <si>
    <t>Darchem</t>
  </si>
  <si>
    <t>Freyssinet</t>
  </si>
  <si>
    <t>Lisi</t>
  </si>
  <si>
    <t>Mettis</t>
  </si>
  <si>
    <t>Plymouth</t>
  </si>
  <si>
    <t>Ratier Figeac</t>
  </si>
  <si>
    <t>Schaublin</t>
  </si>
  <si>
    <t>Total</t>
  </si>
  <si>
    <t>Temps presse retenu (minutes par tonnes PF) 2020</t>
  </si>
  <si>
    <t>Temps presse retenu (minutes par tonnes PF) 2021</t>
  </si>
  <si>
    <t>Temps presse retenu (minutes par tonnes PF) 2022</t>
  </si>
  <si>
    <t>Temps presse retenu (minutes par tonnes PF) 2023</t>
  </si>
  <si>
    <t>Temps presse retenu (minutes par tonnes PF) 2024</t>
  </si>
  <si>
    <t>Temps presse retenu (minutes par tonnes PF) 2025</t>
  </si>
  <si>
    <t>Temps presse retenu (minutes par tonnes PF) 2026</t>
  </si>
  <si>
    <t>R2018</t>
  </si>
  <si>
    <t>u</t>
  </si>
  <si>
    <t>m</t>
  </si>
  <si>
    <t>a</t>
  </si>
  <si>
    <t>e</t>
  </si>
  <si>
    <t>In 706</t>
  </si>
  <si>
    <t>Ti 10 2 3 Safran LS</t>
  </si>
  <si>
    <t>Ti 10 2 3 Airbus</t>
  </si>
  <si>
    <t xml:space="preserve">Ti 10 2 3 </t>
  </si>
  <si>
    <t>TàF Ti</t>
  </si>
  <si>
    <t>?</t>
  </si>
  <si>
    <t>Airbus  Billettes EcoTitanium</t>
  </si>
  <si>
    <t>Code Lingot</t>
  </si>
  <si>
    <t>Prix Lingots UKTMP</t>
  </si>
  <si>
    <t>Prix Lingots EcoTi</t>
  </si>
  <si>
    <t>Prix DP UKTMP</t>
  </si>
  <si>
    <t>Prix DP EcoTi</t>
  </si>
  <si>
    <t>Parite</t>
  </si>
  <si>
    <t>*</t>
  </si>
  <si>
    <t>****</t>
  </si>
  <si>
    <t>Rond Titane Ø240-280 SMX</t>
  </si>
  <si>
    <t>SMX</t>
  </si>
  <si>
    <t>Presse</t>
  </si>
  <si>
    <t>Airbus EcoTitanium Pamiers ( Equilibrage Airbus Billette)</t>
  </si>
  <si>
    <t>Boeing</t>
  </si>
  <si>
    <t>Impact Appareil</t>
  </si>
  <si>
    <t>A350</t>
  </si>
  <si>
    <t>A400M</t>
  </si>
  <si>
    <t>Impact UKAD</t>
  </si>
  <si>
    <t>Base Conbid 2020</t>
  </si>
  <si>
    <t>AIR-MULTI</t>
  </si>
  <si>
    <t>LA</t>
  </si>
  <si>
    <t>LR</t>
  </si>
  <si>
    <t>SA</t>
  </si>
  <si>
    <t>XWB</t>
  </si>
  <si>
    <t>Howmet</t>
  </si>
  <si>
    <t>vaBK</t>
  </si>
  <si>
    <t>Wymna Gordon</t>
  </si>
  <si>
    <t>Baisse Nominale</t>
  </si>
  <si>
    <t>Baisse retenue</t>
  </si>
  <si>
    <t>Nouveaux Volumes</t>
  </si>
  <si>
    <t>Baisse 2020 pgm</t>
  </si>
  <si>
    <t>Baisse 2021 pgm</t>
  </si>
  <si>
    <t>Baisse 2022 pgm</t>
  </si>
  <si>
    <t>Impact</t>
  </si>
  <si>
    <t>base 6 mois à 100% 6 mois à 64%</t>
  </si>
  <si>
    <t>Mais impact SC  de 2020 sur 2021 de 6 mois d'excédents</t>
  </si>
  <si>
    <t xml:space="preserve">Répartition base Otto Fuchs </t>
  </si>
  <si>
    <t>Conbid initial 2019</t>
  </si>
  <si>
    <t>NB Opt</t>
  </si>
  <si>
    <t>WB Opt</t>
  </si>
  <si>
    <t>Total UKAD 2020 eq</t>
  </si>
  <si>
    <t>Total CB</t>
  </si>
  <si>
    <t>Correction OF</t>
  </si>
  <si>
    <t>Doc Stéphanie Ganier,</t>
  </si>
  <si>
    <t>NB Pes</t>
  </si>
  <si>
    <t>WB Pess</t>
  </si>
  <si>
    <t>WB</t>
  </si>
  <si>
    <t>NB</t>
  </si>
  <si>
    <t>Rate FAL</t>
  </si>
  <si>
    <t>Décalage UKAD  9 mois</t>
  </si>
  <si>
    <t>WB Pes</t>
  </si>
  <si>
    <t>Global Airbus</t>
  </si>
  <si>
    <t>PL Aéro Stéphanie</t>
  </si>
  <si>
    <t>Ventilation Excédent</t>
  </si>
  <si>
    <t>Excédent NB Opt</t>
  </si>
  <si>
    <t>Excédent WB Opt</t>
  </si>
  <si>
    <t>Excédent NB Pes</t>
  </si>
  <si>
    <t>Excédent WB Pes</t>
  </si>
  <si>
    <t>Décalage UKAD  9 mois + ventilation Excédents</t>
  </si>
  <si>
    <t>Airbus Opt</t>
  </si>
  <si>
    <t>Airbus Pes</t>
  </si>
  <si>
    <t>PLAero Opt</t>
  </si>
  <si>
    <t>PLAero Pes</t>
  </si>
  <si>
    <t>PLAutres Opt</t>
  </si>
  <si>
    <t>PL Autres</t>
  </si>
  <si>
    <t>Moteurs Opt</t>
  </si>
  <si>
    <t>Moteurs Pess</t>
  </si>
  <si>
    <t>Table impactmoteurs</t>
  </si>
  <si>
    <t>Table impactairbus</t>
  </si>
  <si>
    <t>Table impactPL</t>
  </si>
  <si>
    <t>Table impactautres</t>
  </si>
  <si>
    <t>Prev</t>
  </si>
  <si>
    <t>Extrusion Hors Airbus, UAC, CEFIVAL</t>
  </si>
  <si>
    <t>UKAD</t>
  </si>
  <si>
    <t>NIVEAU BAS</t>
  </si>
  <si>
    <t>ECOTITANIUM</t>
  </si>
  <si>
    <t>TOTAL</t>
  </si>
  <si>
    <t xml:space="preserve"> INITIAL</t>
  </si>
  <si>
    <t xml:space="preserve"> RETENU</t>
  </si>
  <si>
    <t>COMMENTAIRES</t>
  </si>
  <si>
    <t>En-cours ? Stock lingot ? Nouvelles prévisions client</t>
  </si>
  <si>
    <t>relation client pas claire</t>
  </si>
  <si>
    <t>impact de l'affaire en cours de négociation</t>
  </si>
  <si>
    <t>signature du contrat</t>
  </si>
  <si>
    <t>négociation avec IFA ?</t>
  </si>
  <si>
    <t>pas de volumes à ce prix.</t>
  </si>
  <si>
    <t>pilotage à clarifier</t>
  </si>
  <si>
    <t>Calcul à repréciser avec l'en-cours - forte dépendance de l'en-cours</t>
  </si>
  <si>
    <t>volumes produits 106T en 2020 =&gt; prévision selon doc AV</t>
  </si>
  <si>
    <t>dont Titane (hors lingots)</t>
  </si>
  <si>
    <t>2021
tonnage
mensualisé</t>
  </si>
  <si>
    <t>1er Lingot
EcoTi 2021</t>
  </si>
  <si>
    <t>NA</t>
  </si>
  <si>
    <t>UAC</t>
  </si>
  <si>
    <t>Lingots en stock fin 2020 (tonnes)</t>
  </si>
  <si>
    <t>Lingots SAFRAN uniquement fin 2020 (tonnes)</t>
  </si>
  <si>
    <t>ok</t>
  </si>
  <si>
    <t>MAM</t>
  </si>
  <si>
    <t>Cycle
(Semaine)</t>
  </si>
  <si>
    <t>Volume UKAD (DP sur Lingot EcoTitanium ou lingot vente directe), AN stock = 0</t>
  </si>
  <si>
    <t>Tonnage
Lingot
Mensuel</t>
  </si>
  <si>
    <t>Tonnage
Lingot
Annuel</t>
  </si>
  <si>
    <t>Volume Lingot EcoTitanium Engagé @UKAD (tonnes, AN stock = 0) théorique</t>
  </si>
  <si>
    <t>Point à partager</t>
  </si>
  <si>
    <t>BOHLER</t>
  </si>
  <si>
    <t>Grade 23</t>
  </si>
  <si>
    <t>date redémarrage : Sept 2020, 7 lingots dont 3 ELI</t>
  </si>
  <si>
    <t xml:space="preserve">confirmation achats MP (ELI) : QSP 3 lingots sur commande avec avance </t>
  </si>
  <si>
    <t>Minimum d'activité par campagne, par mois pour permettre le redémarrage</t>
  </si>
  <si>
    <t>Capacité Lingot / mois et temps de traversée au redémarrage</t>
  </si>
  <si>
    <t>Coefficient de confiance par ligne</t>
  </si>
  <si>
    <t xml:space="preserve">Commerce : besoin reportable O/N </t>
  </si>
  <si>
    <t>Ventes de chutes UKAD versus besoin EcoTitanium 2021</t>
  </si>
  <si>
    <t>utilisation Lingot en stock Universel</t>
  </si>
  <si>
    <t>utilisation Lingot en stock SAFRAN</t>
  </si>
  <si>
    <t>utilisation Lingot UKTMP</t>
  </si>
  <si>
    <t>Affaire HAL, 3 lingots en cours, engagement Septembre, livraison fin 2020, début 2021</t>
  </si>
  <si>
    <t>Lingots
EcoTi
uniquement</t>
  </si>
  <si>
    <t>utilisation Encours UKAD</t>
  </si>
  <si>
    <t>Scénario 1 : première livraison lingot EcoTitanium en Décembre 2020 , démarrage fin Sept
1 lingot Bohler Grade 23 en moins pour EcoTitanium, substitué par UKTMP
1 lingot DP en moins pour EcoTitanium, non substituable par UKTMP
3 lingots stockiste en moins pour EcoTitanium, non substituable par UKTMP
----
2 lingots en stock sont à reserver sur affaire Bohler Brame à servir sur 2020</t>
  </si>
  <si>
    <t>Synthèse : 1 lingots perdus pour EcoTitanium avec subsitution
4 lingots perdus pour EcoTitanium sans substitution</t>
  </si>
  <si>
    <t>Scénario 2 : démarrage EcoTitanium  Jan 2021 ,première livraison Avril 2021
1 Bombardier en moins pour EcoTi, non substituable par UKTMP
1+1 lingot Bohler Grade 23 en moins pour EcoTitanium, substitué par UKTMP
1+1 lingot DP en moins pour EcoTitanium, non substituable par UKTMP
3+1 lingots stockiste en moins</t>
  </si>
  <si>
    <t>Validé
Filière</t>
  </si>
  <si>
    <t>Stk prj</t>
  </si>
  <si>
    <t>Tonnage
Lingot 2021
Mensuel</t>
  </si>
  <si>
    <t>Scn1</t>
  </si>
  <si>
    <t>Scn2</t>
  </si>
  <si>
    <t>Lingot en moins EcoTi</t>
  </si>
  <si>
    <t>Lingot équiv en moins UKAD</t>
  </si>
  <si>
    <t>Scénario 2 : première livraison lingot EcoTitanium en Jan 2021 , démarrage fin Sept
+1 Bombardier en moins pour EcoTi, non substituable par UKTMP
1+1 lingot Bohler Grade 23 en moins pour EcoTitanium, substitué par UKTMP
1+0 lingot DP en moins pour EcoTitanium, non substituable par UKTMP
3+1 lingots stockiste en moins</t>
  </si>
  <si>
    <t>Scn3</t>
  </si>
  <si>
    <t>Scenario</t>
  </si>
  <si>
    <t>Impacts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</si>
</sst>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&quot; t &quot;"/>
    <numFmt numFmtId="166" formatCode="_-* #,##0\ _€_-;\-* #,##0\ _€_-;_-* &quot;-&quot;??\ _€_-;_-@_-"/>
    <numFmt numFmtId="167" formatCode="0.0%"/>
  </numFmts>
  <fonts count="21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6"/>
      <name val="Calibri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rgb="FF95B3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164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3" fillId="0" borderId="0"/>
    <xf numFmtId="0" fontId="6" fillId="0" borderId="0"/>
  </cellStyleXfs>
  <cellXfs count="188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/>
    <xf numFmtId="0" fontId="6" fillId="0" borderId="0" xfId="0" applyFont="1"/>
    <xf numFmtId="165" fontId="0" fillId="0" borderId="0" xfId="0" applyNumberFormat="1"/>
    <xf numFmtId="1" fontId="0" fillId="0" borderId="0" xfId="0" applyNumberFormat="1"/>
    <xf numFmtId="9" fontId="0" fillId="0" borderId="0" xfId="5" applyFont="1"/>
    <xf numFmtId="0" fontId="5" fillId="0" borderId="0" xfId="0" applyFont="1"/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3" fillId="0" borderId="0" xfId="7"/>
    <xf numFmtId="0" fontId="3" fillId="0" borderId="0" xfId="7" applyAlignment="1">
      <alignment wrapText="1"/>
    </xf>
    <xf numFmtId="0" fontId="3" fillId="0" borderId="0" xfId="7" applyBorder="1" applyAlignment="1">
      <alignment horizontal="left"/>
    </xf>
    <xf numFmtId="0" fontId="3" fillId="0" borderId="0" xfId="7" applyFill="1" applyBorder="1" applyAlignment="1">
      <alignment horizontal="left"/>
    </xf>
    <xf numFmtId="0" fontId="6" fillId="0" borderId="0" xfId="0" applyFont="1" applyAlignment="1">
      <alignment wrapText="1"/>
    </xf>
    <xf numFmtId="4" fontId="0" fillId="0" borderId="0" xfId="0" applyNumberFormat="1"/>
    <xf numFmtId="0" fontId="0" fillId="0" borderId="0" xfId="0" applyNumberFormat="1"/>
    <xf numFmtId="166" fontId="0" fillId="0" borderId="0" xfId="0" applyNumberFormat="1"/>
    <xf numFmtId="0" fontId="0" fillId="2" borderId="0" xfId="0" applyNumberFormat="1" applyFill="1"/>
    <xf numFmtId="0" fontId="0" fillId="3" borderId="0" xfId="0" applyNumberFormat="1" applyFill="1"/>
    <xf numFmtId="0" fontId="0" fillId="4" borderId="0" xfId="0" applyFill="1"/>
    <xf numFmtId="1" fontId="0" fillId="2" borderId="0" xfId="0" applyNumberFormat="1" applyFill="1"/>
    <xf numFmtId="9" fontId="0" fillId="0" borderId="0" xfId="0" applyNumberFormat="1"/>
    <xf numFmtId="9" fontId="0" fillId="0" borderId="0" xfId="5" applyFont="1" applyFill="1" applyBorder="1"/>
    <xf numFmtId="0" fontId="2" fillId="0" borderId="0" xfId="7" applyFont="1" applyBorder="1" applyAlignment="1">
      <alignment horizontal="left"/>
    </xf>
    <xf numFmtId="0" fontId="2" fillId="0" borderId="0" xfId="7" applyFont="1" applyFill="1" applyBorder="1" applyAlignment="1">
      <alignment horizontal="left"/>
    </xf>
    <xf numFmtId="0" fontId="2" fillId="0" borderId="0" xfId="7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5" borderId="0" xfId="0" applyFill="1"/>
    <xf numFmtId="0" fontId="1" fillId="0" borderId="0" xfId="7" applyFont="1" applyBorder="1" applyAlignment="1">
      <alignment horizontal="left"/>
    </xf>
    <xf numFmtId="0" fontId="0" fillId="6" borderId="0" xfId="0" applyFill="1"/>
    <xf numFmtId="0" fontId="7" fillId="0" borderId="0" xfId="0" applyFont="1" applyAlignment="1">
      <alignment wrapText="1"/>
    </xf>
    <xf numFmtId="0" fontId="6" fillId="6" borderId="0" xfId="0" applyFont="1" applyFill="1"/>
    <xf numFmtId="167" fontId="0" fillId="0" borderId="0" xfId="5" applyNumberFormat="1" applyFont="1"/>
    <xf numFmtId="10" fontId="0" fillId="0" borderId="0" xfId="0" applyNumberFormat="1"/>
    <xf numFmtId="167" fontId="7" fillId="0" borderId="0" xfId="5" applyNumberFormat="1" applyFont="1"/>
    <xf numFmtId="9" fontId="7" fillId="0" borderId="0" xfId="5" applyFont="1"/>
    <xf numFmtId="0" fontId="6" fillId="0" borderId="0" xfId="0" applyFont="1" applyAlignment="1">
      <alignment horizontal="left"/>
    </xf>
    <xf numFmtId="166" fontId="6" fillId="0" borderId="0" xfId="0" applyNumberFormat="1" applyFont="1"/>
    <xf numFmtId="0" fontId="18" fillId="7" borderId="1" xfId="0" applyFont="1" applyFill="1" applyBorder="1"/>
    <xf numFmtId="164" fontId="0" fillId="0" borderId="0" xfId="0" applyNumberFormat="1"/>
    <xf numFmtId="164" fontId="0" fillId="0" borderId="0" xfId="4" applyFont="1"/>
    <xf numFmtId="166" fontId="0" fillId="0" borderId="0" xfId="4" applyNumberFormat="1" applyFont="1"/>
    <xf numFmtId="0" fontId="6" fillId="0" borderId="2" xfId="0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 vertical="center"/>
    </xf>
    <xf numFmtId="165" fontId="0" fillId="0" borderId="2" xfId="0" applyNumberFormat="1" applyBorder="1"/>
    <xf numFmtId="0" fontId="6" fillId="0" borderId="2" xfId="0" applyFont="1" applyFill="1" applyBorder="1"/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/>
    <xf numFmtId="0" fontId="14" fillId="0" borderId="2" xfId="0" applyFont="1" applyBorder="1" applyAlignment="1">
      <alignment horizontal="center"/>
    </xf>
    <xf numFmtId="0" fontId="0" fillId="8" borderId="2" xfId="0" applyFill="1" applyBorder="1" applyAlignment="1">
      <alignment horizontal="center"/>
    </xf>
    <xf numFmtId="165" fontId="0" fillId="0" borderId="3" xfId="0" applyNumberFormat="1" applyFill="1" applyBorder="1"/>
    <xf numFmtId="165" fontId="0" fillId="0" borderId="3" xfId="0" applyNumberFormat="1" applyBorder="1"/>
    <xf numFmtId="0" fontId="7" fillId="0" borderId="2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6" fillId="8" borderId="2" xfId="0" applyFont="1" applyFill="1" applyBorder="1"/>
    <xf numFmtId="0" fontId="0" fillId="0" borderId="0" xfId="0" applyAlignment="1">
      <alignment horizontal="center" vertical="center"/>
    </xf>
    <xf numFmtId="165" fontId="0" fillId="9" borderId="2" xfId="0" applyNumberFormat="1" applyFill="1" applyBorder="1"/>
    <xf numFmtId="165" fontId="17" fillId="9" borderId="2" xfId="0" applyNumberFormat="1" applyFont="1" applyFill="1" applyBorder="1"/>
    <xf numFmtId="165" fontId="0" fillId="8" borderId="2" xfId="0" applyNumberFormat="1" applyFill="1" applyBorder="1"/>
    <xf numFmtId="165" fontId="0" fillId="8" borderId="2" xfId="0" applyNumberFormat="1" applyFill="1" applyBorder="1" applyAlignment="1">
      <alignment horizontal="center" vertical="center"/>
    </xf>
    <xf numFmtId="165" fontId="6" fillId="8" borderId="2" xfId="0" applyNumberFormat="1" applyFont="1" applyFill="1" applyBorder="1"/>
    <xf numFmtId="165" fontId="0" fillId="8" borderId="3" xfId="0" applyNumberForma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7" xfId="0" applyFont="1" applyFill="1" applyBorder="1"/>
    <xf numFmtId="0" fontId="0" fillId="0" borderId="8" xfId="0" applyBorder="1" applyAlignment="1">
      <alignment horizontal="left"/>
    </xf>
    <xf numFmtId="165" fontId="0" fillId="0" borderId="7" xfId="0" applyNumberFormat="1" applyBorder="1"/>
    <xf numFmtId="165" fontId="0" fillId="0" borderId="8" xfId="0" applyNumberFormat="1" applyBorder="1"/>
    <xf numFmtId="165" fontId="0" fillId="9" borderId="7" xfId="0" applyNumberFormat="1" applyFill="1" applyBorder="1"/>
    <xf numFmtId="165" fontId="0" fillId="0" borderId="9" xfId="0" applyNumberFormat="1" applyBorder="1"/>
    <xf numFmtId="165" fontId="0" fillId="0" borderId="10" xfId="0" applyNumberFormat="1" applyBorder="1"/>
    <xf numFmtId="0" fontId="0" fillId="0" borderId="11" xfId="0" applyBorder="1"/>
    <xf numFmtId="0" fontId="6" fillId="0" borderId="7" xfId="0" applyFont="1" applyBorder="1"/>
    <xf numFmtId="0" fontId="0" fillId="8" borderId="8" xfId="0" applyFill="1" applyBorder="1" applyAlignment="1">
      <alignment horizontal="center" vertical="center"/>
    </xf>
    <xf numFmtId="0" fontId="0" fillId="0" borderId="7" xfId="0" applyBorder="1"/>
    <xf numFmtId="0" fontId="6" fillId="8" borderId="8" xfId="0" applyFont="1" applyFill="1" applyBorder="1"/>
    <xf numFmtId="0" fontId="7" fillId="0" borderId="7" xfId="0" applyFont="1" applyBorder="1"/>
    <xf numFmtId="165" fontId="0" fillId="8" borderId="8" xfId="0" applyNumberFormat="1" applyFill="1" applyBorder="1"/>
    <xf numFmtId="0" fontId="7" fillId="0" borderId="7" xfId="0" applyFont="1" applyFill="1" applyBorder="1"/>
    <xf numFmtId="0" fontId="7" fillId="0" borderId="7" xfId="0" applyFont="1" applyBorder="1" applyAlignment="1">
      <alignment wrapText="1"/>
    </xf>
    <xf numFmtId="0" fontId="12" fillId="0" borderId="7" xfId="0" applyFont="1" applyFill="1" applyBorder="1"/>
    <xf numFmtId="0" fontId="7" fillId="0" borderId="9" xfId="0" applyFont="1" applyBorder="1"/>
    <xf numFmtId="165" fontId="0" fillId="8" borderId="10" xfId="0" applyNumberFormat="1" applyFill="1" applyBorder="1"/>
    <xf numFmtId="0" fontId="7" fillId="0" borderId="12" xfId="0" applyFont="1" applyFill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7" xfId="0" applyFont="1" applyBorder="1"/>
    <xf numFmtId="165" fontId="0" fillId="8" borderId="7" xfId="0" applyNumberFormat="1" applyFill="1" applyBorder="1"/>
    <xf numFmtId="165" fontId="19" fillId="9" borderId="2" xfId="0" applyNumberFormat="1" applyFont="1" applyFill="1" applyBorder="1"/>
    <xf numFmtId="165" fontId="6" fillId="0" borderId="7" xfId="0" applyNumberFormat="1" applyFont="1" applyBorder="1"/>
    <xf numFmtId="165" fontId="6" fillId="0" borderId="2" xfId="0" applyNumberFormat="1" applyFont="1" applyBorder="1"/>
    <xf numFmtId="165" fontId="6" fillId="8" borderId="8" xfId="0" applyNumberFormat="1" applyFont="1" applyFill="1" applyBorder="1"/>
    <xf numFmtId="0" fontId="6" fillId="0" borderId="0" xfId="8"/>
    <xf numFmtId="0" fontId="6" fillId="0" borderId="0" xfId="8" applyAlignment="1">
      <alignment wrapText="1"/>
    </xf>
    <xf numFmtId="0" fontId="6" fillId="6" borderId="2" xfId="8" applyFill="1" applyBorder="1" applyAlignment="1">
      <alignment vertical="center" wrapText="1"/>
    </xf>
    <xf numFmtId="0" fontId="6" fillId="0" borderId="0" xfId="8" applyAlignment="1">
      <alignment horizontal="center" vertical="center"/>
    </xf>
    <xf numFmtId="165" fontId="0" fillId="6" borderId="2" xfId="0" applyNumberFormat="1" applyFill="1" applyBorder="1"/>
    <xf numFmtId="0" fontId="7" fillId="0" borderId="0" xfId="8" applyFont="1"/>
    <xf numFmtId="0" fontId="6" fillId="6" borderId="0" xfId="8" applyFill="1"/>
    <xf numFmtId="0" fontId="0" fillId="0" borderId="18" xfId="0" applyBorder="1"/>
    <xf numFmtId="0" fontId="6" fillId="0" borderId="0" xfId="8" applyFill="1"/>
    <xf numFmtId="17" fontId="6" fillId="6" borderId="20" xfId="8" applyNumberFormat="1" applyFill="1" applyBorder="1" applyAlignment="1">
      <alignment vertical="center" wrapText="1"/>
    </xf>
    <xf numFmtId="17" fontId="6" fillId="11" borderId="20" xfId="8" applyNumberFormat="1" applyFill="1" applyBorder="1" applyAlignment="1">
      <alignment vertical="center" wrapText="1"/>
    </xf>
    <xf numFmtId="0" fontId="7" fillId="0" borderId="21" xfId="8" applyFont="1" applyBorder="1"/>
    <xf numFmtId="0" fontId="6" fillId="0" borderId="22" xfId="8" applyBorder="1"/>
    <xf numFmtId="0" fontId="6" fillId="0" borderId="23" xfId="8" applyBorder="1"/>
    <xf numFmtId="17" fontId="6" fillId="11" borderId="24" xfId="8" applyNumberFormat="1" applyFill="1" applyBorder="1" applyAlignment="1">
      <alignment vertical="center" wrapText="1"/>
    </xf>
    <xf numFmtId="0" fontId="20" fillId="10" borderId="21" xfId="0" applyFont="1" applyFill="1" applyBorder="1" applyAlignment="1">
      <alignment horizontal="center" vertical="center"/>
    </xf>
    <xf numFmtId="0" fontId="20" fillId="10" borderId="23" xfId="0" applyFont="1" applyFill="1" applyBorder="1" applyAlignment="1">
      <alignment horizontal="center" vertical="center" wrapText="1"/>
    </xf>
    <xf numFmtId="0" fontId="6" fillId="0" borderId="0" xfId="8" applyBorder="1"/>
    <xf numFmtId="0" fontId="0" fillId="0" borderId="2" xfId="0" applyBorder="1"/>
    <xf numFmtId="0" fontId="6" fillId="0" borderId="2" xfId="8" applyBorder="1"/>
    <xf numFmtId="0" fontId="6" fillId="0" borderId="2" xfId="8" applyBorder="1" applyAlignment="1">
      <alignment horizontal="center" vertical="center"/>
    </xf>
    <xf numFmtId="17" fontId="6" fillId="12" borderId="4" xfId="8" applyNumberFormat="1" applyFill="1" applyBorder="1" applyAlignment="1">
      <alignment vertical="center" wrapText="1"/>
    </xf>
    <xf numFmtId="17" fontId="6" fillId="12" borderId="5" xfId="8" applyNumberFormat="1" applyFill="1" applyBorder="1" applyAlignment="1">
      <alignment vertical="center" wrapText="1"/>
    </xf>
    <xf numFmtId="17" fontId="6" fillId="12" borderId="6" xfId="8" applyNumberFormat="1" applyFill="1" applyBorder="1" applyAlignment="1">
      <alignment vertical="center" wrapText="1"/>
    </xf>
    <xf numFmtId="0" fontId="0" fillId="0" borderId="25" xfId="0" applyBorder="1"/>
    <xf numFmtId="0" fontId="0" fillId="0" borderId="0" xfId="0" applyBorder="1"/>
    <xf numFmtId="0" fontId="0" fillId="0" borderId="26" xfId="0" applyBorder="1"/>
    <xf numFmtId="0" fontId="0" fillId="0" borderId="8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17" fontId="6" fillId="6" borderId="5" xfId="8" applyNumberFormat="1" applyFill="1" applyBorder="1" applyAlignment="1">
      <alignment vertical="center" wrapText="1"/>
    </xf>
    <xf numFmtId="17" fontId="6" fillId="6" borderId="6" xfId="8" applyNumberFormat="1" applyFill="1" applyBorder="1" applyAlignment="1">
      <alignment vertical="center" wrapText="1"/>
    </xf>
    <xf numFmtId="0" fontId="6" fillId="0" borderId="30" xfId="8" applyBorder="1"/>
    <xf numFmtId="0" fontId="6" fillId="0" borderId="30" xfId="8" applyBorder="1" applyAlignment="1">
      <alignment horizontal="center" vertical="center"/>
    </xf>
    <xf numFmtId="0" fontId="7" fillId="0" borderId="8" xfId="0" applyFont="1" applyBorder="1"/>
    <xf numFmtId="0" fontId="7" fillId="0" borderId="7" xfId="8" applyFont="1" applyFill="1" applyBorder="1"/>
    <xf numFmtId="0" fontId="7" fillId="0" borderId="8" xfId="8" applyFont="1" applyFill="1" applyBorder="1"/>
    <xf numFmtId="0" fontId="7" fillId="0" borderId="27" xfId="0" applyFont="1" applyBorder="1"/>
    <xf numFmtId="0" fontId="7" fillId="0" borderId="29" xfId="0" applyFont="1" applyBorder="1"/>
    <xf numFmtId="0" fontId="20" fillId="10" borderId="11" xfId="0" applyFont="1" applyFill="1" applyBorder="1" applyAlignment="1">
      <alignment horizontal="center" vertical="center" wrapText="1"/>
    </xf>
    <xf numFmtId="0" fontId="0" fillId="0" borderId="17" xfId="0" applyBorder="1"/>
    <xf numFmtId="0" fontId="20" fillId="10" borderId="15" xfId="0" applyFont="1" applyFill="1" applyBorder="1" applyAlignment="1">
      <alignment horizontal="center" vertical="center" wrapText="1"/>
    </xf>
    <xf numFmtId="17" fontId="6" fillId="6" borderId="31" xfId="8" applyNumberFormat="1" applyFill="1" applyBorder="1" applyAlignment="1">
      <alignment vertical="center" wrapText="1"/>
    </xf>
    <xf numFmtId="0" fontId="0" fillId="0" borderId="32" xfId="0" applyBorder="1"/>
    <xf numFmtId="0" fontId="0" fillId="0" borderId="33" xfId="0" applyBorder="1"/>
    <xf numFmtId="0" fontId="6" fillId="6" borderId="2" xfId="8" applyFill="1" applyBorder="1"/>
    <xf numFmtId="0" fontId="6" fillId="6" borderId="11" xfId="0" applyFont="1" applyFill="1" applyBorder="1"/>
    <xf numFmtId="0" fontId="0" fillId="6" borderId="15" xfId="0" applyFill="1" applyBorder="1"/>
    <xf numFmtId="0" fontId="6" fillId="6" borderId="17" xfId="0" applyFont="1" applyFill="1" applyBorder="1"/>
    <xf numFmtId="0" fontId="0" fillId="6" borderId="18" xfId="0" applyFill="1" applyBorder="1"/>
    <xf numFmtId="0" fontId="0" fillId="6" borderId="19" xfId="0" applyFill="1" applyBorder="1"/>
    <xf numFmtId="0" fontId="12" fillId="13" borderId="7" xfId="0" applyFont="1" applyFill="1" applyBorder="1"/>
    <xf numFmtId="0" fontId="7" fillId="13" borderId="7" xfId="0" applyFont="1" applyFill="1" applyBorder="1"/>
    <xf numFmtId="0" fontId="0" fillId="14" borderId="2" xfId="0" applyFill="1" applyBorder="1"/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14" borderId="16" xfId="0" applyFill="1" applyBorder="1"/>
    <xf numFmtId="0" fontId="0" fillId="15" borderId="7" xfId="0" applyFill="1" applyBorder="1"/>
    <xf numFmtId="0" fontId="0" fillId="15" borderId="2" xfId="0" applyFill="1" applyBorder="1"/>
    <xf numFmtId="0" fontId="7" fillId="0" borderId="0" xfId="0" applyFont="1" applyBorder="1" applyAlignment="1">
      <alignment horizontal="center" vertical="center"/>
    </xf>
    <xf numFmtId="164" fontId="7" fillId="0" borderId="0" xfId="4" applyFont="1"/>
    <xf numFmtId="16" fontId="0" fillId="0" borderId="0" xfId="0" applyNumberFormat="1"/>
    <xf numFmtId="0" fontId="20" fillId="10" borderId="0" xfId="0" applyFont="1" applyFill="1" applyAlignment="1">
      <alignment wrapText="1"/>
    </xf>
    <xf numFmtId="0" fontId="6" fillId="0" borderId="0" xfId="8" applyFill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14" borderId="8" xfId="0" applyFill="1" applyBorder="1"/>
    <xf numFmtId="0" fontId="0" fillId="9" borderId="2" xfId="0" applyFill="1" applyBorder="1"/>
    <xf numFmtId="0" fontId="0" fillId="14" borderId="32" xfId="0" applyFill="1" applyBorder="1"/>
    <xf numFmtId="0" fontId="0" fillId="16" borderId="8" xfId="0" applyFill="1" applyBorder="1"/>
    <xf numFmtId="0" fontId="0" fillId="16" borderId="2" xfId="0" applyFill="1" applyBorder="1"/>
    <xf numFmtId="0" fontId="6" fillId="6" borderId="0" xfId="8" applyFill="1" applyBorder="1"/>
    <xf numFmtId="0" fontId="6" fillId="0" borderId="0" xfId="0" applyFont="1" applyFill="1"/>
    <xf numFmtId="0" fontId="0" fillId="17" borderId="2" xfId="0" applyFill="1" applyBorder="1"/>
    <xf numFmtId="164" fontId="6" fillId="0" borderId="0" xfId="8" applyNumberFormat="1"/>
    <xf numFmtId="0" fontId="6" fillId="9" borderId="0" xfId="0" applyFont="1" applyFill="1"/>
    <xf numFmtId="0" fontId="6" fillId="0" borderId="0" xfId="0" applyFont="1" applyAlignment="1">
      <alignment vertical="center" wrapText="1"/>
    </xf>
    <xf numFmtId="0" fontId="7" fillId="14" borderId="0" xfId="0" applyFont="1" applyFill="1" applyAlignment="1">
      <alignment horizontal="center" vertical="center" wrapText="1"/>
    </xf>
    <xf numFmtId="0" fontId="6" fillId="0" borderId="0" xfId="8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9" borderId="8" xfId="0" applyFill="1" applyBorder="1"/>
    <xf numFmtId="0" fontId="7" fillId="15" borderId="2" xfId="0" applyFont="1" applyFill="1" applyBorder="1"/>
    <xf numFmtId="0" fontId="7" fillId="17" borderId="2" xfId="0" applyFont="1" applyFill="1" applyBorder="1"/>
    <xf numFmtId="0" fontId="7" fillId="16" borderId="8" xfId="0" applyFont="1" applyFill="1" applyBorder="1"/>
    <xf numFmtId="0" fontId="6" fillId="0" borderId="0" xfId="8" applyAlignment="1">
      <alignment vertical="center"/>
    </xf>
    <xf numFmtId="0" fontId="6" fillId="0" borderId="0" xfId="8" applyAlignment="1"/>
  </cellXfs>
  <cellStyles count="9">
    <cellStyle name="Milliers" xfId="4" builtinId="3"/>
    <cellStyle name="Milliers 2" xfId="6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7" xr:uid="{00000000-0005-0000-0000-000006000000}"/>
    <cellStyle name="Normal 5" xfId="8" xr:uid="{0BAE5CDE-402E-4E6F-BECD-B26DC2D1F04A}"/>
    <cellStyle name="Pourcentage" xfId="5" builtinId="5"/>
  </cellStyles>
  <dxfs count="0"/>
  <tableStyles count="0" defaultTableStyle="TableStyleMedium2" defaultPivotStyle="PivotStyleLight16"/>
  <colors>
    <mruColors>
      <color rgb="FF00FF99"/>
      <color rgb="FF66FFCC"/>
      <color rgb="FF66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1</xdr:row>
      <xdr:rowOff>160020</xdr:rowOff>
    </xdr:from>
    <xdr:to>
      <xdr:col>5</xdr:col>
      <xdr:colOff>407306</xdr:colOff>
      <xdr:row>17</xdr:row>
      <xdr:rowOff>26150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67A081A-D52B-4C0B-BE7D-6491F8206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342900"/>
          <a:ext cx="4590686" cy="2792210"/>
        </a:xfrm>
        <a:prstGeom prst="rect">
          <a:avLst/>
        </a:prstGeom>
      </xdr:spPr>
    </xdr:pic>
    <xdr:clientData/>
  </xdr:twoCellAnchor>
  <xdr:twoCellAnchor editAs="oneCell">
    <xdr:from>
      <xdr:col>5</xdr:col>
      <xdr:colOff>708660</xdr:colOff>
      <xdr:row>1</xdr:row>
      <xdr:rowOff>91440</xdr:rowOff>
    </xdr:from>
    <xdr:to>
      <xdr:col>11</xdr:col>
      <xdr:colOff>544466</xdr:colOff>
      <xdr:row>16</xdr:row>
      <xdr:rowOff>134353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89572A2-C759-46D1-8880-48DB7A75C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14900" y="274320"/>
          <a:ext cx="4590686" cy="2786113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17</xdr:row>
      <xdr:rowOff>38100</xdr:rowOff>
    </xdr:from>
    <xdr:to>
      <xdr:col>17</xdr:col>
      <xdr:colOff>730896</xdr:colOff>
      <xdr:row>39</xdr:row>
      <xdr:rowOff>138549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2DE6F21-20BC-4A33-825F-0034F5F6C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6420" y="3147060"/>
          <a:ext cx="4990476" cy="4123809"/>
        </a:xfrm>
        <a:prstGeom prst="rect">
          <a:avLst/>
        </a:prstGeom>
      </xdr:spPr>
    </xdr:pic>
    <xdr:clientData/>
  </xdr:twoCellAnchor>
  <xdr:twoCellAnchor editAs="oneCell">
    <xdr:from>
      <xdr:col>12</xdr:col>
      <xdr:colOff>708660</xdr:colOff>
      <xdr:row>44</xdr:row>
      <xdr:rowOff>160020</xdr:rowOff>
    </xdr:from>
    <xdr:to>
      <xdr:col>18</xdr:col>
      <xdr:colOff>39494</xdr:colOff>
      <xdr:row>72</xdr:row>
      <xdr:rowOff>20332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9BEA240-180F-48D6-B9B2-38C87641F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62260" y="8206740"/>
          <a:ext cx="4085714" cy="498095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12</xdr:col>
      <xdr:colOff>373380</xdr:colOff>
      <xdr:row>74</xdr:row>
      <xdr:rowOff>113051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0662E35-13C4-41C0-9160-09EDA7CAE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06240" y="11521440"/>
          <a:ext cx="5920740" cy="1941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21772</xdr:colOff>
      <xdr:row>42</xdr:row>
      <xdr:rowOff>43544</xdr:rowOff>
    </xdr:from>
    <xdr:to>
      <xdr:col>48</xdr:col>
      <xdr:colOff>544286</xdr:colOff>
      <xdr:row>45</xdr:row>
      <xdr:rowOff>119744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2B9024E5-1968-41CC-827B-61CD939310E5}"/>
            </a:ext>
          </a:extLst>
        </xdr:cNvPr>
        <xdr:cNvSpPr txBox="1"/>
      </xdr:nvSpPr>
      <xdr:spPr>
        <a:xfrm>
          <a:off x="25178658" y="8828315"/>
          <a:ext cx="4016828" cy="6313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7/7  Vision Filière : Budget 800 tonnes de lingots</a:t>
          </a:r>
          <a:r>
            <a:rPr lang="fr-FR" sz="1100" baseline="0"/>
            <a:t> livrés en 2021</a:t>
          </a:r>
          <a:endParaRPr lang="fr-FR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ROIX Nicolas" id="{0030EC79-C367-405A-861B-34FD539D22E4}" userId="S::nicolas.proix@eramet-ecotitanium.com::18cbdd43-79ee-4dd4-ac9e-8ae16bc44667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1" dT="2020-07-06T10:19:47.59" personId="{0030EC79-C367-405A-861B-34FD539D22E4}" id="{25F96A30-7A91-4439-B032-E892D46CFEA5}">
    <text>peut être servi avec Lingot UKTMP</text>
  </threadedComment>
  <threadedComment ref="Q28" dT="2020-07-01T12:49:09.63" personId="{0030EC79-C367-405A-861B-34FD539D22E4}" id="{E4532725-5BB4-4C84-A813-EF8FDE84D0E1}">
    <text>Etre prêt</text>
  </threadedComment>
  <threadedComment ref="AR28" dT="2020-07-06T09:20:52.75" personId="{0030EC79-C367-405A-861B-34FD539D22E4}" id="{40EDFFDB-5AD9-46B5-A36B-748738BCC6AF}">
    <text>utilisation stock UKAD 21 tonnes au 6/7/20</text>
  </threadedComment>
  <threadedComment ref="A29" dT="2020-07-06T10:20:22.00" personId="{0030EC79-C367-405A-861B-34FD539D22E4}" id="{1BEF6E46-6D10-4893-9B65-F7E97D44DA42}">
    <text>UKTMP possible</text>
  </threadedComment>
  <threadedComment ref="A39" dT="2020-07-01T13:44:55.77" personId="{0030EC79-C367-405A-861B-34FD539D22E4}" id="{9779AA6F-0894-487A-8145-783509C205CD}">
    <text>Toute affectation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1" dT="2020-07-06T10:19:47.59" personId="{0030EC79-C367-405A-861B-34FD539D22E4}" id="{BB65827D-E4E7-49A6-8462-1EE60A6E0C64}">
    <text>peut être servi avec Lingot UKTMP</text>
  </threadedComment>
  <threadedComment ref="Q28" dT="2020-07-01T12:49:09.63" personId="{0030EC79-C367-405A-861B-34FD539D22E4}" id="{18730343-246F-4D2C-97B8-0F841A44A4B7}">
    <text>Etre prêt</text>
  </threadedComment>
  <threadedComment ref="AQ28" dT="2020-07-06T09:20:52.75" personId="{0030EC79-C367-405A-861B-34FD539D22E4}" id="{0CA66F07-2CC1-4D8B-8B88-A613750FEC99}">
    <text>utilisation stock UKAD 21 tonnes au 6/7/20</text>
  </threadedComment>
  <threadedComment ref="A29" dT="2020-07-06T10:20:22.00" personId="{0030EC79-C367-405A-861B-34FD539D22E4}" id="{10A4D237-B2D8-4CAE-8D4D-F19BDF1EED40}">
    <text>UKTMP possible</text>
  </threadedComment>
  <threadedComment ref="A39" dT="2020-07-01T13:44:55.77" personId="{0030EC79-C367-405A-861B-34FD539D22E4}" id="{13FC0180-A6F2-410A-9ECB-2CB8A3921F04}">
    <text>Toute affectation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21" dT="2020-07-06T10:19:47.59" personId="{0030EC79-C367-405A-861B-34FD539D22E4}" id="{7F6E7725-BE15-4AB3-B7A5-E77D2E5FD5F7}">
    <text>peut être servi avec Lingot UKTMP</text>
  </threadedComment>
  <threadedComment ref="Q28" dT="2020-07-01T12:49:09.63" personId="{0030EC79-C367-405A-861B-34FD539D22E4}" id="{016E4C12-6A15-48AF-9E3B-6CA54EBDA88C}">
    <text>Etre prêt</text>
  </threadedComment>
  <threadedComment ref="AQ28" dT="2020-07-06T09:20:52.75" personId="{0030EC79-C367-405A-861B-34FD539D22E4}" id="{8F3B7633-CC2C-42B3-8241-8D3374A0E456}">
    <text>utilisation stock UKAD 21 tonnes au 6/7/20</text>
  </threadedComment>
  <threadedComment ref="A29" dT="2020-07-06T10:20:22.00" personId="{0030EC79-C367-405A-861B-34FD539D22E4}" id="{82D8E15D-EC24-444E-8918-5A9D23882670}">
    <text>UKTMP possible</text>
  </threadedComment>
  <threadedComment ref="A39" dT="2020-07-01T13:44:55.77" personId="{0030EC79-C367-405A-861B-34FD539D22E4}" id="{89A8B0A4-0594-4CB7-9DB6-A8BE362AF7D8}">
    <text>Toute affectation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6"/>
  <sheetViews>
    <sheetView topLeftCell="A10" workbookViewId="0">
      <selection activeCell="J25" sqref="J25"/>
    </sheetView>
    <sheetView workbookViewId="1"/>
  </sheetViews>
  <sheetFormatPr baseColWidth="10" defaultRowHeight="14.4" x14ac:dyDescent="0.3"/>
  <cols>
    <col min="1" max="1" width="36.33203125" customWidth="1"/>
    <col min="30" max="30" width="13.109375" customWidth="1"/>
  </cols>
  <sheetData>
    <row r="1" spans="1:30" x14ac:dyDescent="0.3">
      <c r="A1" t="s">
        <v>61</v>
      </c>
      <c r="B1" t="s">
        <v>62</v>
      </c>
    </row>
    <row r="2" spans="1:30" x14ac:dyDescent="0.3">
      <c r="A2" t="s">
        <v>63</v>
      </c>
      <c r="B2" s="15">
        <v>60</v>
      </c>
      <c r="C2" s="15">
        <v>65</v>
      </c>
      <c r="D2" s="15">
        <v>70</v>
      </c>
      <c r="E2" s="15">
        <v>80</v>
      </c>
      <c r="F2" s="15">
        <v>90</v>
      </c>
      <c r="G2" s="15">
        <v>110</v>
      </c>
      <c r="H2" s="15">
        <v>125</v>
      </c>
      <c r="I2" s="15">
        <v>127</v>
      </c>
      <c r="J2" s="15">
        <v>130</v>
      </c>
      <c r="K2" s="15">
        <v>140</v>
      </c>
      <c r="L2" s="15">
        <v>150</v>
      </c>
      <c r="M2" s="15">
        <v>152</v>
      </c>
      <c r="N2" s="15">
        <v>165</v>
      </c>
      <c r="O2" s="15">
        <v>170</v>
      </c>
      <c r="P2" s="15">
        <v>180</v>
      </c>
      <c r="Q2" s="15">
        <v>200</v>
      </c>
      <c r="R2" s="15">
        <v>200.03</v>
      </c>
      <c r="S2" s="15">
        <v>203</v>
      </c>
      <c r="T2" s="15">
        <v>210</v>
      </c>
      <c r="U2" s="15">
        <v>220</v>
      </c>
      <c r="V2" s="15">
        <v>222.25</v>
      </c>
      <c r="W2" s="15">
        <v>229</v>
      </c>
      <c r="X2" s="15">
        <v>240</v>
      </c>
      <c r="Y2" s="15">
        <v>250</v>
      </c>
      <c r="Z2" s="15">
        <v>254</v>
      </c>
      <c r="AA2" s="15">
        <v>280</v>
      </c>
      <c r="AB2" s="15">
        <v>300</v>
      </c>
      <c r="AC2" s="15">
        <v>330</v>
      </c>
      <c r="AD2" s="15" t="s">
        <v>64</v>
      </c>
    </row>
    <row r="3" spans="1:30" x14ac:dyDescent="0.3">
      <c r="A3" s="1" t="s">
        <v>65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>
        <v>14642</v>
      </c>
      <c r="T3" s="16"/>
      <c r="U3" s="16"/>
      <c r="V3" s="16"/>
      <c r="W3" s="16"/>
      <c r="X3" s="16"/>
      <c r="Y3" s="16">
        <v>200627</v>
      </c>
      <c r="Z3" s="16"/>
      <c r="AA3" s="16"/>
      <c r="AB3" s="16"/>
      <c r="AC3" s="16"/>
      <c r="AD3" s="17">
        <v>215269</v>
      </c>
    </row>
    <row r="4" spans="1:30" x14ac:dyDescent="0.3">
      <c r="A4" s="1" t="s">
        <v>66</v>
      </c>
      <c r="B4" s="16"/>
      <c r="C4" s="16"/>
      <c r="D4" s="16"/>
      <c r="E4" s="16"/>
      <c r="F4" s="16"/>
      <c r="G4" s="16">
        <v>1500</v>
      </c>
      <c r="H4" s="16">
        <v>11700</v>
      </c>
      <c r="I4" s="16"/>
      <c r="J4" s="16"/>
      <c r="K4" s="16">
        <v>7400</v>
      </c>
      <c r="L4" s="16"/>
      <c r="M4" s="16"/>
      <c r="N4" s="16"/>
      <c r="O4" s="16"/>
      <c r="P4" s="16">
        <v>14000</v>
      </c>
      <c r="Q4" s="16">
        <v>54900</v>
      </c>
      <c r="R4" s="16"/>
      <c r="S4" s="16"/>
      <c r="T4" s="16"/>
      <c r="U4" s="16">
        <v>32000</v>
      </c>
      <c r="V4" s="16"/>
      <c r="W4" s="16"/>
      <c r="X4" s="16">
        <v>265600.04000000004</v>
      </c>
      <c r="Y4" s="16"/>
      <c r="Z4" s="16"/>
      <c r="AA4" s="16">
        <v>154000.02000000002</v>
      </c>
      <c r="AB4" s="16"/>
      <c r="AC4" s="16">
        <v>138000</v>
      </c>
      <c r="AD4" s="17">
        <v>679100.06</v>
      </c>
    </row>
    <row r="5" spans="1:30" x14ac:dyDescent="0.3">
      <c r="A5" s="1" t="s">
        <v>67</v>
      </c>
      <c r="B5" s="16"/>
      <c r="C5" s="16"/>
      <c r="D5" s="16"/>
      <c r="E5" s="16"/>
      <c r="F5" s="16"/>
      <c r="G5" s="16"/>
      <c r="H5" s="16"/>
      <c r="I5" s="16">
        <v>1358</v>
      </c>
      <c r="J5" s="16"/>
      <c r="K5" s="16"/>
      <c r="L5" s="16"/>
      <c r="M5" s="16">
        <v>62800</v>
      </c>
      <c r="N5" s="16"/>
      <c r="O5" s="16">
        <v>26966.16</v>
      </c>
      <c r="P5" s="16"/>
      <c r="Q5" s="16"/>
      <c r="R5" s="16"/>
      <c r="S5" s="16"/>
      <c r="T5" s="16"/>
      <c r="U5" s="16"/>
      <c r="V5" s="16"/>
      <c r="W5" s="16">
        <v>22379</v>
      </c>
      <c r="X5" s="16"/>
      <c r="Y5" s="16"/>
      <c r="Z5" s="16">
        <v>13758</v>
      </c>
      <c r="AA5" s="16"/>
      <c r="AB5" s="16">
        <v>13504</v>
      </c>
      <c r="AC5" s="16"/>
      <c r="AD5" s="17">
        <v>140765.16</v>
      </c>
    </row>
    <row r="6" spans="1:30" x14ac:dyDescent="0.3">
      <c r="A6" s="1" t="s">
        <v>68</v>
      </c>
      <c r="B6" s="16"/>
      <c r="C6" s="16"/>
      <c r="D6" s="16">
        <v>518.54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7">
        <v>518.54</v>
      </c>
    </row>
    <row r="7" spans="1:30" x14ac:dyDescent="0.3">
      <c r="A7" s="1" t="s">
        <v>69</v>
      </c>
      <c r="B7" s="16"/>
      <c r="C7" s="16"/>
      <c r="D7" s="16"/>
      <c r="E7" s="16"/>
      <c r="F7" s="16">
        <v>714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>
        <v>714</v>
      </c>
    </row>
    <row r="8" spans="1:30" x14ac:dyDescent="0.3">
      <c r="A8" s="1" t="s">
        <v>70</v>
      </c>
      <c r="B8" s="16"/>
      <c r="C8" s="16"/>
      <c r="D8" s="16"/>
      <c r="E8" s="16"/>
      <c r="F8" s="16"/>
      <c r="G8" s="16"/>
      <c r="H8" s="16"/>
      <c r="I8" s="16"/>
      <c r="J8" s="16">
        <v>24173</v>
      </c>
      <c r="K8" s="16">
        <v>18668</v>
      </c>
      <c r="L8" s="16"/>
      <c r="M8" s="16"/>
      <c r="N8" s="16"/>
      <c r="O8" s="16"/>
      <c r="P8" s="16"/>
      <c r="Q8" s="16">
        <v>17736.12</v>
      </c>
      <c r="R8" s="16"/>
      <c r="S8" s="16"/>
      <c r="T8" s="16"/>
      <c r="U8" s="16"/>
      <c r="V8" s="16"/>
      <c r="W8" s="16"/>
      <c r="X8" s="16"/>
      <c r="Y8" s="16">
        <v>44790.240000000005</v>
      </c>
      <c r="Z8" s="16"/>
      <c r="AA8" s="16"/>
      <c r="AB8" s="16"/>
      <c r="AC8" s="16"/>
      <c r="AD8" s="17">
        <v>105367.36</v>
      </c>
    </row>
    <row r="9" spans="1:30" x14ac:dyDescent="0.3">
      <c r="A9" s="1" t="s">
        <v>71</v>
      </c>
      <c r="B9" s="16"/>
      <c r="C9" s="16"/>
      <c r="D9" s="16"/>
      <c r="E9" s="16"/>
      <c r="F9" s="16"/>
      <c r="G9" s="16"/>
      <c r="H9" s="16">
        <v>4827</v>
      </c>
      <c r="I9" s="16"/>
      <c r="J9" s="16"/>
      <c r="K9" s="16"/>
      <c r="L9" s="16"/>
      <c r="M9" s="16"/>
      <c r="N9" s="16">
        <v>6710</v>
      </c>
      <c r="O9" s="16"/>
      <c r="P9" s="16"/>
      <c r="Q9" s="16"/>
      <c r="R9" s="16"/>
      <c r="S9" s="16"/>
      <c r="T9" s="16">
        <v>36450</v>
      </c>
      <c r="U9" s="16"/>
      <c r="V9" s="16"/>
      <c r="W9" s="16"/>
      <c r="X9" s="16"/>
      <c r="Y9" s="16"/>
      <c r="Z9" s="16"/>
      <c r="AA9" s="16"/>
      <c r="AB9" s="16"/>
      <c r="AC9" s="16"/>
      <c r="AD9" s="17">
        <v>47987</v>
      </c>
    </row>
    <row r="10" spans="1:30" x14ac:dyDescent="0.3">
      <c r="A10" s="1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>
        <v>5188.72</v>
      </c>
      <c r="R10" s="16"/>
      <c r="S10" s="16"/>
      <c r="T10" s="16"/>
      <c r="U10" s="16"/>
      <c r="V10" s="16"/>
      <c r="W10" s="16"/>
      <c r="X10" s="16"/>
      <c r="Y10" s="16">
        <v>0</v>
      </c>
      <c r="Z10" s="16"/>
      <c r="AA10" s="16"/>
      <c r="AB10" s="16"/>
      <c r="AC10" s="16"/>
      <c r="AD10" s="17">
        <v>5188.72</v>
      </c>
    </row>
    <row r="11" spans="1:30" x14ac:dyDescent="0.3">
      <c r="A11" s="1" t="s">
        <v>72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>
        <v>119411.38999999998</v>
      </c>
      <c r="S11" s="16"/>
      <c r="T11" s="16"/>
      <c r="U11" s="16"/>
      <c r="V11" s="16">
        <v>45139.99</v>
      </c>
      <c r="W11" s="16"/>
      <c r="X11" s="16"/>
      <c r="Y11" s="16"/>
      <c r="Z11" s="16"/>
      <c r="AA11" s="16"/>
      <c r="AB11" s="16"/>
      <c r="AC11" s="16"/>
      <c r="AD11" s="17">
        <v>164551.37999999998</v>
      </c>
    </row>
    <row r="12" spans="1:30" x14ac:dyDescent="0.3">
      <c r="A12" s="1" t="s">
        <v>73</v>
      </c>
      <c r="B12" s="16"/>
      <c r="C12" s="16">
        <v>986</v>
      </c>
      <c r="D12" s="16"/>
      <c r="E12" s="16">
        <v>1855</v>
      </c>
      <c r="F12" s="16"/>
      <c r="G12" s="16">
        <v>396</v>
      </c>
      <c r="H12" s="16"/>
      <c r="I12" s="16"/>
      <c r="J12" s="16"/>
      <c r="K12" s="16"/>
      <c r="L12" s="16">
        <v>242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7">
        <v>3479</v>
      </c>
    </row>
    <row r="13" spans="1:30" x14ac:dyDescent="0.3">
      <c r="A13" s="1" t="s">
        <v>74</v>
      </c>
      <c r="B13" s="16">
        <v>1201</v>
      </c>
      <c r="C13" s="16"/>
      <c r="D13" s="16"/>
      <c r="E13" s="16"/>
      <c r="F13" s="16">
        <v>464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7">
        <v>1665</v>
      </c>
    </row>
    <row r="14" spans="1:30" x14ac:dyDescent="0.3">
      <c r="A14" s="1" t="s">
        <v>64</v>
      </c>
      <c r="B14" s="18">
        <v>1201</v>
      </c>
      <c r="C14" s="18">
        <v>986</v>
      </c>
      <c r="D14" s="18">
        <v>518.54</v>
      </c>
      <c r="E14" s="18">
        <v>1855</v>
      </c>
      <c r="F14" s="18">
        <v>1178</v>
      </c>
      <c r="G14" s="18">
        <v>1896</v>
      </c>
      <c r="H14" s="19">
        <v>16527</v>
      </c>
      <c r="I14" s="19">
        <v>1358</v>
      </c>
      <c r="J14" s="19">
        <v>24173</v>
      </c>
      <c r="K14" s="19">
        <v>26068</v>
      </c>
      <c r="L14" s="19">
        <v>242</v>
      </c>
      <c r="M14" s="19">
        <v>62800</v>
      </c>
      <c r="N14" s="16">
        <v>6710</v>
      </c>
      <c r="O14" s="16">
        <v>26966.16</v>
      </c>
      <c r="P14" s="16">
        <v>14000</v>
      </c>
      <c r="Q14" s="16">
        <v>77824.84</v>
      </c>
      <c r="R14" s="16">
        <v>119411.38999999998</v>
      </c>
      <c r="S14" s="16">
        <v>14642</v>
      </c>
      <c r="T14" s="16">
        <v>36450</v>
      </c>
      <c r="U14" s="16">
        <v>32000</v>
      </c>
      <c r="V14" s="16">
        <v>45139.99</v>
      </c>
      <c r="W14" s="16">
        <v>22379</v>
      </c>
      <c r="X14" s="19">
        <v>265600.04000000004</v>
      </c>
      <c r="Y14" s="19">
        <v>245417.24</v>
      </c>
      <c r="Z14" s="19">
        <v>13758</v>
      </c>
      <c r="AA14" s="19">
        <v>154000.02000000002</v>
      </c>
      <c r="AB14" s="16">
        <v>13504</v>
      </c>
      <c r="AC14" s="16">
        <v>138000</v>
      </c>
      <c r="AD14" s="17">
        <v>1364605.22</v>
      </c>
    </row>
    <row r="16" spans="1:30" x14ac:dyDescent="0.3">
      <c r="C16">
        <v>2020</v>
      </c>
      <c r="M16" t="s">
        <v>104</v>
      </c>
      <c r="N16" s="20">
        <v>6710</v>
      </c>
      <c r="O16" s="20">
        <v>26966.16</v>
      </c>
      <c r="P16" s="20">
        <f>P14</f>
        <v>14000</v>
      </c>
      <c r="Q16" s="20">
        <f>Q14</f>
        <v>77824.84</v>
      </c>
      <c r="R16" s="20">
        <v>119411.38999999998</v>
      </c>
      <c r="S16" s="20">
        <v>14642</v>
      </c>
      <c r="T16" s="20">
        <v>36450</v>
      </c>
      <c r="U16" s="20">
        <f>U14</f>
        <v>32000</v>
      </c>
      <c r="V16" s="20">
        <v>45139.99</v>
      </c>
      <c r="W16" s="20"/>
    </row>
    <row r="17" spans="1:23" x14ac:dyDescent="0.3">
      <c r="M17" t="s">
        <v>105</v>
      </c>
      <c r="N17" s="20"/>
      <c r="O17" s="20"/>
      <c r="P17" s="20"/>
      <c r="Q17" s="20"/>
      <c r="R17" s="20"/>
      <c r="S17" s="20"/>
      <c r="T17" s="20"/>
      <c r="U17" s="20"/>
      <c r="V17" s="20"/>
      <c r="W17" s="20">
        <v>22379</v>
      </c>
    </row>
    <row r="18" spans="1:23" x14ac:dyDescent="0.3">
      <c r="A18" s="12" t="s">
        <v>45</v>
      </c>
      <c r="B18" s="21">
        <v>7634.54</v>
      </c>
      <c r="C18" s="6">
        <v>5.5946876709148151E-3</v>
      </c>
      <c r="D18" s="5">
        <f>B18</f>
        <v>7634.54</v>
      </c>
      <c r="E18" s="6">
        <f>D18/$D$26</f>
        <v>5.5946892288613013E-3</v>
      </c>
    </row>
    <row r="19" spans="1:23" x14ac:dyDescent="0.3">
      <c r="A19" s="12" t="s">
        <v>46</v>
      </c>
      <c r="B19" s="5">
        <v>131168</v>
      </c>
      <c r="C19" s="6">
        <v>9.6121572801839333E-2</v>
      </c>
      <c r="D19" s="5">
        <f>B19</f>
        <v>131168</v>
      </c>
      <c r="E19" s="6">
        <f t="shared" ref="E19:E24" si="0">D19/$D$26</f>
        <v>9.6121599568707375E-2</v>
      </c>
    </row>
    <row r="20" spans="1:23" x14ac:dyDescent="0.3">
      <c r="A20" s="12" t="s">
        <v>48</v>
      </c>
      <c r="B20" s="5">
        <v>272244.38</v>
      </c>
      <c r="C20" s="6">
        <v>0.1995041320448708</v>
      </c>
      <c r="D20" s="5">
        <v>373144</v>
      </c>
      <c r="E20" s="6">
        <f t="shared" si="0"/>
        <v>0.27344472851202845</v>
      </c>
    </row>
    <row r="21" spans="1:23" x14ac:dyDescent="0.3">
      <c r="A21" s="12" t="s">
        <v>49</v>
      </c>
      <c r="B21" s="5">
        <v>123279</v>
      </c>
      <c r="C21" s="6">
        <v>9.0340413617939985E-2</v>
      </c>
      <c r="D21" s="5">
        <v>22379</v>
      </c>
      <c r="E21" s="6">
        <f t="shared" si="0"/>
        <v>1.6399619394578725E-2</v>
      </c>
    </row>
    <row r="22" spans="1:23" x14ac:dyDescent="0.3">
      <c r="A22" s="12" t="s">
        <v>50</v>
      </c>
      <c r="B22" s="5">
        <v>678775.3</v>
      </c>
      <c r="C22" s="6">
        <v>0.49741514252744828</v>
      </c>
      <c r="D22" s="5">
        <f t="shared" ref="D22:D24" si="1">B22</f>
        <v>678775.3</v>
      </c>
      <c r="E22" s="6">
        <f t="shared" si="0"/>
        <v>0.49741528104209276</v>
      </c>
    </row>
    <row r="23" spans="1:23" x14ac:dyDescent="0.3">
      <c r="A23" s="30" t="s">
        <v>103</v>
      </c>
      <c r="B23" s="5">
        <v>0</v>
      </c>
      <c r="C23" s="6">
        <v>0</v>
      </c>
      <c r="D23" s="5">
        <f t="shared" si="1"/>
        <v>0</v>
      </c>
      <c r="E23" s="6">
        <f t="shared" si="0"/>
        <v>0</v>
      </c>
    </row>
    <row r="24" spans="1:23" x14ac:dyDescent="0.3">
      <c r="A24" s="12" t="s">
        <v>51</v>
      </c>
      <c r="B24" s="5">
        <v>151504</v>
      </c>
      <c r="C24" s="6">
        <v>0.11102405133698666</v>
      </c>
      <c r="D24" s="5">
        <f t="shared" si="1"/>
        <v>151504</v>
      </c>
      <c r="E24" s="6">
        <f t="shared" si="0"/>
        <v>0.11102408225373141</v>
      </c>
    </row>
    <row r="25" spans="1:23" x14ac:dyDescent="0.3">
      <c r="B25" s="5"/>
    </row>
    <row r="26" spans="1:23" x14ac:dyDescent="0.3">
      <c r="A26" s="13" t="s">
        <v>75</v>
      </c>
      <c r="B26" s="5">
        <v>1364605.2200000002</v>
      </c>
      <c r="D26" s="5">
        <f>SUM(D18:D24)</f>
        <v>1364604.84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"/>
  <sheetViews>
    <sheetView workbookViewId="0">
      <selection activeCell="F15" sqref="F15"/>
    </sheetView>
    <sheetView workbookViewId="1"/>
  </sheetViews>
  <sheetFormatPr baseColWidth="10" defaultColWidth="11.44140625" defaultRowHeight="14.4" x14ac:dyDescent="0.3"/>
  <cols>
    <col min="1" max="1" width="16.33203125" style="10" customWidth="1"/>
    <col min="2" max="2" width="27.88671875" style="10" customWidth="1"/>
    <col min="3" max="5" width="11.44140625" style="10"/>
    <col min="6" max="6" width="18.33203125" style="10" customWidth="1"/>
    <col min="7" max="12" width="15.6640625" style="10" customWidth="1"/>
    <col min="13" max="16384" width="11.44140625" style="10"/>
  </cols>
  <sheetData>
    <row r="1" spans="1:18" x14ac:dyDescent="0.3">
      <c r="A1" s="10" t="s">
        <v>36</v>
      </c>
    </row>
    <row r="2" spans="1:18" ht="57.6" x14ac:dyDescent="0.3">
      <c r="B2" s="10" t="s">
        <v>58</v>
      </c>
      <c r="C2" s="10" t="s">
        <v>37</v>
      </c>
      <c r="D2" s="10" t="s">
        <v>38</v>
      </c>
      <c r="E2" s="11" t="s">
        <v>39</v>
      </c>
      <c r="F2" s="11" t="s">
        <v>76</v>
      </c>
      <c r="G2" s="11" t="s">
        <v>77</v>
      </c>
      <c r="H2" s="11" t="s">
        <v>78</v>
      </c>
      <c r="I2" s="11" t="s">
        <v>79</v>
      </c>
      <c r="J2" s="11" t="s">
        <v>80</v>
      </c>
      <c r="K2" s="11" t="s">
        <v>81</v>
      </c>
      <c r="L2" s="11" t="s">
        <v>82</v>
      </c>
      <c r="M2" s="11"/>
      <c r="N2" s="11"/>
      <c r="O2" s="11"/>
      <c r="P2" s="11"/>
      <c r="Q2" s="11"/>
      <c r="R2" s="11"/>
    </row>
    <row r="3" spans="1:18" x14ac:dyDescent="0.3">
      <c r="B3" s="10" t="s">
        <v>60</v>
      </c>
      <c r="E3" s="11"/>
      <c r="F3" s="11">
        <v>0</v>
      </c>
      <c r="G3" s="11">
        <f>F3</f>
        <v>0</v>
      </c>
      <c r="H3" s="11">
        <f t="shared" ref="H3:L3" si="0">G3</f>
        <v>0</v>
      </c>
      <c r="I3" s="11">
        <f t="shared" si="0"/>
        <v>0</v>
      </c>
      <c r="J3" s="11">
        <f t="shared" si="0"/>
        <v>0</v>
      </c>
      <c r="K3" s="11">
        <f t="shared" si="0"/>
        <v>0</v>
      </c>
      <c r="L3" s="11">
        <f t="shared" si="0"/>
        <v>0</v>
      </c>
    </row>
    <row r="4" spans="1:18" x14ac:dyDescent="0.3">
      <c r="B4" s="10" t="s">
        <v>40</v>
      </c>
      <c r="C4" s="10">
        <v>169</v>
      </c>
      <c r="D4" s="10">
        <v>6</v>
      </c>
      <c r="E4" s="10">
        <f>C4/D4</f>
        <v>28.166666666666668</v>
      </c>
      <c r="F4" s="10">
        <v>31</v>
      </c>
      <c r="G4" s="11">
        <f t="shared" ref="G4:L21" si="1">F4</f>
        <v>31</v>
      </c>
      <c r="H4" s="11">
        <f t="shared" si="1"/>
        <v>31</v>
      </c>
      <c r="I4" s="11">
        <f t="shared" si="1"/>
        <v>31</v>
      </c>
      <c r="J4" s="11">
        <f t="shared" si="1"/>
        <v>31</v>
      </c>
      <c r="K4" s="11">
        <f t="shared" si="1"/>
        <v>31</v>
      </c>
      <c r="L4" s="11">
        <f t="shared" si="1"/>
        <v>31</v>
      </c>
    </row>
    <row r="5" spans="1:18" x14ac:dyDescent="0.3">
      <c r="B5" s="10" t="s">
        <v>41</v>
      </c>
      <c r="C5" s="10">
        <v>213</v>
      </c>
      <c r="D5" s="10">
        <v>5.36</v>
      </c>
      <c r="E5" s="10">
        <f>C5/D5</f>
        <v>39.738805970149251</v>
      </c>
      <c r="F5" s="10">
        <v>40</v>
      </c>
      <c r="G5" s="11">
        <f t="shared" si="1"/>
        <v>40</v>
      </c>
      <c r="H5" s="11">
        <f t="shared" si="1"/>
        <v>40</v>
      </c>
      <c r="I5" s="11">
        <f t="shared" si="1"/>
        <v>40</v>
      </c>
      <c r="J5" s="11">
        <f t="shared" si="1"/>
        <v>40</v>
      </c>
      <c r="K5" s="11">
        <f>J5</f>
        <v>40</v>
      </c>
      <c r="L5" s="11">
        <f t="shared" si="1"/>
        <v>40</v>
      </c>
      <c r="N5" s="12"/>
    </row>
    <row r="6" spans="1:18" x14ac:dyDescent="0.3">
      <c r="B6" s="10" t="s">
        <v>42</v>
      </c>
      <c r="C6" s="10">
        <v>210</v>
      </c>
      <c r="D6" s="10">
        <v>6</v>
      </c>
      <c r="E6" s="10">
        <f t="shared" ref="E6:E7" si="2">C6/D6</f>
        <v>35</v>
      </c>
      <c r="F6" s="10">
        <v>35</v>
      </c>
      <c r="G6" s="11">
        <f t="shared" si="1"/>
        <v>35</v>
      </c>
      <c r="H6" s="11">
        <f t="shared" si="1"/>
        <v>35</v>
      </c>
      <c r="I6" s="11">
        <f t="shared" si="1"/>
        <v>35</v>
      </c>
      <c r="J6" s="11">
        <f t="shared" si="1"/>
        <v>35</v>
      </c>
      <c r="K6" s="11">
        <f t="shared" si="1"/>
        <v>35</v>
      </c>
      <c r="L6" s="11">
        <f t="shared" si="1"/>
        <v>35</v>
      </c>
    </row>
    <row r="7" spans="1:18" x14ac:dyDescent="0.3">
      <c r="B7" s="10" t="s">
        <v>59</v>
      </c>
      <c r="C7" s="10">
        <v>90</v>
      </c>
      <c r="D7" s="10">
        <v>6</v>
      </c>
      <c r="E7" s="10">
        <f t="shared" si="2"/>
        <v>15</v>
      </c>
      <c r="F7" s="10">
        <v>15</v>
      </c>
      <c r="G7" s="11">
        <f t="shared" si="1"/>
        <v>15</v>
      </c>
      <c r="H7" s="11">
        <f t="shared" si="1"/>
        <v>15</v>
      </c>
      <c r="I7" s="11">
        <f t="shared" si="1"/>
        <v>15</v>
      </c>
      <c r="J7" s="11">
        <f t="shared" si="1"/>
        <v>15</v>
      </c>
      <c r="K7" s="11">
        <f t="shared" si="1"/>
        <v>15</v>
      </c>
      <c r="L7" s="11">
        <f t="shared" si="1"/>
        <v>15</v>
      </c>
    </row>
    <row r="8" spans="1:18" x14ac:dyDescent="0.3">
      <c r="B8" s="10" t="s">
        <v>43</v>
      </c>
      <c r="E8" s="10">
        <v>15</v>
      </c>
      <c r="F8" s="10">
        <v>15</v>
      </c>
      <c r="G8" s="11">
        <f t="shared" si="1"/>
        <v>15</v>
      </c>
      <c r="H8" s="11">
        <f t="shared" si="1"/>
        <v>15</v>
      </c>
      <c r="I8" s="11">
        <f t="shared" si="1"/>
        <v>15</v>
      </c>
      <c r="J8" s="11">
        <f t="shared" si="1"/>
        <v>15</v>
      </c>
      <c r="K8" s="11">
        <f t="shared" si="1"/>
        <v>15</v>
      </c>
      <c r="L8" s="11">
        <f t="shared" si="1"/>
        <v>15</v>
      </c>
    </row>
    <row r="9" spans="1:18" x14ac:dyDescent="0.3">
      <c r="B9" s="10" t="s">
        <v>44</v>
      </c>
      <c r="E9" s="10">
        <v>20</v>
      </c>
      <c r="F9" s="10">
        <v>20</v>
      </c>
      <c r="G9" s="11">
        <f t="shared" si="1"/>
        <v>20</v>
      </c>
      <c r="H9" s="11">
        <f t="shared" si="1"/>
        <v>20</v>
      </c>
      <c r="I9" s="11">
        <f t="shared" si="1"/>
        <v>20</v>
      </c>
      <c r="J9" s="11">
        <f t="shared" si="1"/>
        <v>20</v>
      </c>
      <c r="K9" s="11">
        <f t="shared" si="1"/>
        <v>20</v>
      </c>
      <c r="L9" s="11">
        <f t="shared" si="1"/>
        <v>20</v>
      </c>
    </row>
    <row r="10" spans="1:18" x14ac:dyDescent="0.3">
      <c r="B10" s="12" t="s">
        <v>45</v>
      </c>
      <c r="E10" s="10">
        <v>26</v>
      </c>
      <c r="F10" s="10">
        <v>26</v>
      </c>
      <c r="G10" s="11">
        <f t="shared" si="1"/>
        <v>26</v>
      </c>
      <c r="H10" s="11">
        <f t="shared" si="1"/>
        <v>26</v>
      </c>
      <c r="I10" s="11">
        <f t="shared" si="1"/>
        <v>26</v>
      </c>
      <c r="J10" s="11">
        <f t="shared" si="1"/>
        <v>26</v>
      </c>
      <c r="K10" s="11">
        <f t="shared" si="1"/>
        <v>26</v>
      </c>
      <c r="L10" s="11">
        <f t="shared" si="1"/>
        <v>26</v>
      </c>
    </row>
    <row r="11" spans="1:18" x14ac:dyDescent="0.3">
      <c r="B11" s="12" t="s">
        <v>46</v>
      </c>
      <c r="C11" s="10">
        <v>135</v>
      </c>
      <c r="D11" s="10">
        <v>5.6</v>
      </c>
      <c r="E11" s="10">
        <f t="shared" ref="E11:E18" si="3">C11/D11</f>
        <v>24.107142857142858</v>
      </c>
      <c r="F11" s="10">
        <v>27</v>
      </c>
      <c r="G11" s="11">
        <f t="shared" si="1"/>
        <v>27</v>
      </c>
      <c r="H11" s="11">
        <f t="shared" si="1"/>
        <v>27</v>
      </c>
      <c r="I11" s="11">
        <f t="shared" si="1"/>
        <v>27</v>
      </c>
      <c r="J11" s="11">
        <f t="shared" si="1"/>
        <v>27</v>
      </c>
      <c r="K11" s="11">
        <f t="shared" si="1"/>
        <v>27</v>
      </c>
      <c r="L11" s="11">
        <f t="shared" si="1"/>
        <v>27</v>
      </c>
    </row>
    <row r="12" spans="1:18" x14ac:dyDescent="0.3">
      <c r="B12" s="12" t="s">
        <v>47</v>
      </c>
      <c r="C12" s="10">
        <v>135</v>
      </c>
      <c r="D12" s="10">
        <v>5.5</v>
      </c>
      <c r="E12" s="10">
        <f t="shared" si="3"/>
        <v>24.545454545454547</v>
      </c>
      <c r="F12" s="10">
        <v>27</v>
      </c>
      <c r="G12" s="11">
        <f t="shared" si="1"/>
        <v>27</v>
      </c>
      <c r="H12" s="11">
        <f t="shared" si="1"/>
        <v>27</v>
      </c>
      <c r="I12" s="11">
        <f t="shared" si="1"/>
        <v>27</v>
      </c>
      <c r="J12" s="11">
        <f t="shared" si="1"/>
        <v>27</v>
      </c>
      <c r="K12" s="11">
        <f t="shared" si="1"/>
        <v>27</v>
      </c>
      <c r="L12" s="11">
        <f t="shared" si="1"/>
        <v>27</v>
      </c>
    </row>
    <row r="13" spans="1:18" x14ac:dyDescent="0.3">
      <c r="B13" s="12" t="s">
        <v>48</v>
      </c>
      <c r="C13" s="10">
        <v>151</v>
      </c>
      <c r="D13" s="10">
        <v>5.6</v>
      </c>
      <c r="E13" s="10">
        <f t="shared" si="3"/>
        <v>26.964285714285715</v>
      </c>
      <c r="F13" s="10">
        <v>30</v>
      </c>
      <c r="G13" s="11">
        <f t="shared" si="1"/>
        <v>30</v>
      </c>
      <c r="H13" s="11">
        <f t="shared" si="1"/>
        <v>30</v>
      </c>
      <c r="I13" s="11">
        <f t="shared" si="1"/>
        <v>30</v>
      </c>
      <c r="J13" s="11">
        <f t="shared" si="1"/>
        <v>30</v>
      </c>
      <c r="K13" s="11">
        <f t="shared" si="1"/>
        <v>30</v>
      </c>
      <c r="L13" s="11">
        <f t="shared" si="1"/>
        <v>30</v>
      </c>
    </row>
    <row r="14" spans="1:18" x14ac:dyDescent="0.3">
      <c r="B14" s="12" t="s">
        <v>49</v>
      </c>
      <c r="C14" s="10">
        <v>463</v>
      </c>
      <c r="D14" s="10">
        <v>5.6</v>
      </c>
      <c r="E14" s="10">
        <f t="shared" si="3"/>
        <v>82.678571428571431</v>
      </c>
      <c r="F14" s="10">
        <v>89</v>
      </c>
      <c r="G14" s="11">
        <f t="shared" si="1"/>
        <v>89</v>
      </c>
      <c r="H14" s="11">
        <f t="shared" si="1"/>
        <v>89</v>
      </c>
      <c r="I14" s="11">
        <f t="shared" si="1"/>
        <v>89</v>
      </c>
      <c r="J14" s="11">
        <f t="shared" si="1"/>
        <v>89</v>
      </c>
      <c r="K14" s="11">
        <f t="shared" si="1"/>
        <v>89</v>
      </c>
      <c r="L14" s="11">
        <f t="shared" si="1"/>
        <v>89</v>
      </c>
    </row>
    <row r="15" spans="1:18" x14ac:dyDescent="0.3">
      <c r="B15" s="30" t="s">
        <v>103</v>
      </c>
      <c r="C15" s="10">
        <v>151</v>
      </c>
      <c r="D15" s="10">
        <v>5.6</v>
      </c>
      <c r="E15" s="10">
        <f t="shared" ref="E15" si="4">C15/D15</f>
        <v>26.964285714285715</v>
      </c>
      <c r="F15" s="10">
        <v>30</v>
      </c>
      <c r="G15" s="11">
        <f t="shared" ref="G15" si="5">F15</f>
        <v>30</v>
      </c>
      <c r="H15" s="11">
        <f t="shared" ref="H15" si="6">G15</f>
        <v>30</v>
      </c>
      <c r="I15" s="11">
        <f t="shared" ref="I15" si="7">H15</f>
        <v>30</v>
      </c>
      <c r="J15" s="11">
        <f t="shared" ref="J15" si="8">I15</f>
        <v>30</v>
      </c>
      <c r="K15" s="11">
        <f t="shared" ref="K15" si="9">J15</f>
        <v>30</v>
      </c>
      <c r="L15" s="11">
        <f t="shared" ref="L15" si="10">K15</f>
        <v>30</v>
      </c>
    </row>
    <row r="16" spans="1:18" x14ac:dyDescent="0.3">
      <c r="B16" s="12" t="s">
        <v>50</v>
      </c>
      <c r="C16" s="10">
        <v>320</v>
      </c>
      <c r="D16" s="10">
        <v>5.6</v>
      </c>
      <c r="E16" s="10">
        <f t="shared" si="3"/>
        <v>57.142857142857146</v>
      </c>
      <c r="F16" s="10">
        <v>62</v>
      </c>
      <c r="G16" s="11">
        <f t="shared" si="1"/>
        <v>62</v>
      </c>
      <c r="H16" s="11">
        <f t="shared" si="1"/>
        <v>62</v>
      </c>
      <c r="I16" s="11">
        <f t="shared" si="1"/>
        <v>62</v>
      </c>
      <c r="J16" s="11">
        <f t="shared" si="1"/>
        <v>62</v>
      </c>
      <c r="K16" s="11">
        <f t="shared" si="1"/>
        <v>62</v>
      </c>
      <c r="L16" s="11">
        <f t="shared" si="1"/>
        <v>62</v>
      </c>
    </row>
    <row r="17" spans="2:12" x14ac:dyDescent="0.3">
      <c r="B17" s="12" t="s">
        <v>51</v>
      </c>
      <c r="C17" s="10">
        <v>286</v>
      </c>
      <c r="D17" s="10">
        <v>5.65</v>
      </c>
      <c r="E17" s="10">
        <f t="shared" si="3"/>
        <v>50.619469026548671</v>
      </c>
      <c r="F17" s="10">
        <v>55</v>
      </c>
      <c r="G17" s="11">
        <f t="shared" si="1"/>
        <v>55</v>
      </c>
      <c r="H17" s="11">
        <f t="shared" si="1"/>
        <v>55</v>
      </c>
      <c r="I17" s="11">
        <f t="shared" si="1"/>
        <v>55</v>
      </c>
      <c r="J17" s="11">
        <f t="shared" si="1"/>
        <v>55</v>
      </c>
      <c r="K17" s="11">
        <f t="shared" si="1"/>
        <v>55</v>
      </c>
      <c r="L17" s="11">
        <f t="shared" si="1"/>
        <v>55</v>
      </c>
    </row>
    <row r="18" spans="2:12" x14ac:dyDescent="0.3">
      <c r="B18" s="12" t="s">
        <v>52</v>
      </c>
      <c r="C18" s="10">
        <v>150</v>
      </c>
      <c r="D18" s="10">
        <v>5.65</v>
      </c>
      <c r="E18" s="10">
        <f t="shared" si="3"/>
        <v>26.548672566371678</v>
      </c>
      <c r="F18" s="10">
        <v>30</v>
      </c>
      <c r="G18" s="11">
        <f t="shared" si="1"/>
        <v>30</v>
      </c>
      <c r="H18" s="11">
        <f t="shared" si="1"/>
        <v>30</v>
      </c>
      <c r="I18" s="11">
        <f t="shared" si="1"/>
        <v>30</v>
      </c>
      <c r="J18" s="11">
        <f t="shared" si="1"/>
        <v>30</v>
      </c>
      <c r="K18" s="11">
        <f t="shared" si="1"/>
        <v>30</v>
      </c>
      <c r="L18" s="11">
        <f t="shared" si="1"/>
        <v>30</v>
      </c>
    </row>
    <row r="19" spans="2:12" x14ac:dyDescent="0.3">
      <c r="B19" s="13" t="s">
        <v>53</v>
      </c>
      <c r="C19" s="10">
        <v>53</v>
      </c>
      <c r="D19" s="10">
        <v>6.7</v>
      </c>
      <c r="E19" s="10">
        <f t="shared" ref="E19" si="11">C19/D19</f>
        <v>7.91044776119403</v>
      </c>
      <c r="F19" s="10">
        <v>9</v>
      </c>
      <c r="G19" s="11">
        <f t="shared" ref="G19:G20" si="12">F19</f>
        <v>9</v>
      </c>
      <c r="H19" s="11">
        <f t="shared" ref="H19:H20" si="13">G19</f>
        <v>9</v>
      </c>
      <c r="I19" s="11">
        <f t="shared" ref="I19:I20" si="14">H19</f>
        <v>9</v>
      </c>
      <c r="J19" s="11">
        <f t="shared" ref="J19:J20" si="15">I19</f>
        <v>9</v>
      </c>
      <c r="K19" s="11">
        <f t="shared" ref="K19:K20" si="16">J19</f>
        <v>9</v>
      </c>
      <c r="L19" s="11">
        <f t="shared" ref="L19:L20" si="17">K19</f>
        <v>9</v>
      </c>
    </row>
    <row r="20" spans="2:12" x14ac:dyDescent="0.3">
      <c r="B20" s="24" t="s">
        <v>91</v>
      </c>
      <c r="E20" s="26" t="s">
        <v>93</v>
      </c>
      <c r="F20" s="10">
        <v>60</v>
      </c>
      <c r="G20" s="11">
        <f t="shared" si="12"/>
        <v>60</v>
      </c>
      <c r="H20" s="11">
        <f t="shared" si="13"/>
        <v>60</v>
      </c>
      <c r="I20" s="11">
        <f t="shared" si="14"/>
        <v>60</v>
      </c>
      <c r="J20" s="11">
        <f t="shared" si="15"/>
        <v>60</v>
      </c>
      <c r="K20" s="11">
        <f t="shared" si="16"/>
        <v>60</v>
      </c>
      <c r="L20" s="11">
        <f t="shared" si="17"/>
        <v>60</v>
      </c>
    </row>
    <row r="21" spans="2:12" x14ac:dyDescent="0.3">
      <c r="B21" s="25" t="s">
        <v>88</v>
      </c>
      <c r="E21" s="26" t="s">
        <v>93</v>
      </c>
      <c r="F21" s="10">
        <v>30</v>
      </c>
      <c r="G21" s="11">
        <f t="shared" si="1"/>
        <v>30</v>
      </c>
      <c r="H21" s="11">
        <f t="shared" si="1"/>
        <v>30</v>
      </c>
      <c r="I21" s="11">
        <f t="shared" si="1"/>
        <v>30</v>
      </c>
      <c r="J21" s="11">
        <f t="shared" si="1"/>
        <v>30</v>
      </c>
      <c r="K21" s="11">
        <f t="shared" si="1"/>
        <v>30</v>
      </c>
      <c r="L21" s="11">
        <f t="shared" si="1"/>
        <v>30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D8C8-E855-4865-9E6E-33F8A40D7240}">
  <dimension ref="A1:S48"/>
  <sheetViews>
    <sheetView topLeftCell="A22" workbookViewId="0">
      <selection activeCell="B52" sqref="B52"/>
    </sheetView>
    <sheetView workbookViewId="1"/>
  </sheetViews>
  <sheetFormatPr baseColWidth="10" defaultRowHeight="14.4" x14ac:dyDescent="0.3"/>
  <cols>
    <col min="1" max="1" width="22.44140625" customWidth="1"/>
    <col min="5" max="5" width="12.6640625" bestFit="1" customWidth="1"/>
    <col min="6" max="7" width="12.77734375" bestFit="1" customWidth="1"/>
    <col min="8" max="8" width="14.109375" bestFit="1" customWidth="1"/>
  </cols>
  <sheetData>
    <row r="1" spans="1:19" x14ac:dyDescent="0.3">
      <c r="A1" s="3" t="s">
        <v>111</v>
      </c>
    </row>
    <row r="3" spans="1:19" x14ac:dyDescent="0.3">
      <c r="A3" s="3" t="s">
        <v>112</v>
      </c>
    </row>
    <row r="7" spans="1:19" x14ac:dyDescent="0.3">
      <c r="A7" t="s">
        <v>61</v>
      </c>
      <c r="B7" t="s">
        <v>62</v>
      </c>
      <c r="M7" s="3" t="s">
        <v>127</v>
      </c>
    </row>
    <row r="8" spans="1:19" x14ac:dyDescent="0.3">
      <c r="A8" s="40" t="s">
        <v>63</v>
      </c>
      <c r="B8" s="40" t="s">
        <v>110</v>
      </c>
      <c r="C8" s="40" t="s">
        <v>113</v>
      </c>
      <c r="D8" s="40" t="s">
        <v>114</v>
      </c>
      <c r="E8" s="40" t="s">
        <v>115</v>
      </c>
      <c r="F8" s="40" t="s">
        <v>116</v>
      </c>
      <c r="G8" s="40" t="s">
        <v>117</v>
      </c>
      <c r="H8" s="40" t="s">
        <v>64</v>
      </c>
      <c r="M8">
        <v>2020</v>
      </c>
      <c r="N8" s="22">
        <v>-0.36</v>
      </c>
      <c r="P8" s="3" t="s">
        <v>128</v>
      </c>
      <c r="S8" s="6">
        <f>(1+0.64)/2</f>
        <v>0.82000000000000006</v>
      </c>
    </row>
    <row r="9" spans="1:19" x14ac:dyDescent="0.3">
      <c r="A9" t="s">
        <v>66</v>
      </c>
      <c r="B9">
        <v>28000</v>
      </c>
      <c r="D9">
        <v>6.0000000000000005E-2</v>
      </c>
      <c r="E9">
        <v>100800</v>
      </c>
      <c r="F9">
        <v>20000</v>
      </c>
      <c r="G9">
        <v>452300</v>
      </c>
      <c r="H9">
        <v>601100.06000000006</v>
      </c>
      <c r="M9">
        <v>2021</v>
      </c>
      <c r="N9" s="2">
        <v>-37</v>
      </c>
    </row>
    <row r="10" spans="1:19" x14ac:dyDescent="0.3">
      <c r="A10" t="s">
        <v>118</v>
      </c>
      <c r="F10">
        <v>200627</v>
      </c>
      <c r="G10">
        <v>14642</v>
      </c>
      <c r="H10">
        <v>215269</v>
      </c>
    </row>
    <row r="11" spans="1:19" x14ac:dyDescent="0.3">
      <c r="A11" t="s">
        <v>70</v>
      </c>
      <c r="E11">
        <v>14781</v>
      </c>
      <c r="F11">
        <v>87168.239999999991</v>
      </c>
      <c r="G11">
        <v>6639.1200000000008</v>
      </c>
      <c r="H11">
        <v>108588.35999999999</v>
      </c>
      <c r="O11" s="3" t="s">
        <v>129</v>
      </c>
      <c r="S11" s="4">
        <f>I26/1000/2</f>
        <v>-244.49729772000015</v>
      </c>
    </row>
    <row r="12" spans="1:19" x14ac:dyDescent="0.3">
      <c r="A12" t="s">
        <v>71</v>
      </c>
      <c r="F12">
        <v>47987</v>
      </c>
      <c r="H12">
        <v>47987</v>
      </c>
    </row>
    <row r="13" spans="1:19" x14ac:dyDescent="0.3">
      <c r="A13" t="s">
        <v>3</v>
      </c>
      <c r="E13">
        <v>0</v>
      </c>
      <c r="F13">
        <v>29779</v>
      </c>
      <c r="G13">
        <v>7244.72</v>
      </c>
      <c r="H13">
        <v>37023.72</v>
      </c>
    </row>
    <row r="14" spans="1:19" x14ac:dyDescent="0.3">
      <c r="A14" t="s">
        <v>72</v>
      </c>
      <c r="F14">
        <v>4698</v>
      </c>
      <c r="G14">
        <v>142433.99000000002</v>
      </c>
      <c r="H14">
        <v>147131.99000000002</v>
      </c>
    </row>
    <row r="15" spans="1:19" x14ac:dyDescent="0.3">
      <c r="A15" t="s">
        <v>74</v>
      </c>
      <c r="E15">
        <v>425</v>
      </c>
      <c r="G15">
        <v>1240</v>
      </c>
      <c r="H15">
        <v>1665</v>
      </c>
    </row>
    <row r="16" spans="1:19" x14ac:dyDescent="0.3">
      <c r="A16" t="s">
        <v>119</v>
      </c>
      <c r="C16">
        <v>43426.16</v>
      </c>
      <c r="D16">
        <v>2014</v>
      </c>
      <c r="F16">
        <v>83835</v>
      </c>
      <c r="G16">
        <v>11490</v>
      </c>
      <c r="H16">
        <v>140765.16</v>
      </c>
    </row>
    <row r="17" spans="1:11" x14ac:dyDescent="0.3">
      <c r="A17" t="s">
        <v>120</v>
      </c>
      <c r="G17">
        <v>66904.850000000006</v>
      </c>
      <c r="H17">
        <v>66904.850000000006</v>
      </c>
    </row>
    <row r="18" spans="1:11" x14ac:dyDescent="0.3">
      <c r="A18" t="s">
        <v>64</v>
      </c>
      <c r="B18">
        <v>28000</v>
      </c>
      <c r="C18">
        <v>43426.16</v>
      </c>
      <c r="D18">
        <v>2014.06</v>
      </c>
      <c r="E18">
        <v>116006</v>
      </c>
      <c r="F18">
        <v>474094.24</v>
      </c>
      <c r="G18">
        <v>702894.67999999993</v>
      </c>
      <c r="H18">
        <v>1366435.1400000001</v>
      </c>
      <c r="K18">
        <f>SUM(E18:G18)</f>
        <v>1292994.92</v>
      </c>
    </row>
    <row r="19" spans="1:11" x14ac:dyDescent="0.3">
      <c r="B19" s="6">
        <v>2.0491276300168917E-2</v>
      </c>
      <c r="C19" s="6">
        <v>3.1780622971976556E-2</v>
      </c>
      <c r="D19" s="6">
        <v>1.4739521408970789E-3</v>
      </c>
      <c r="E19" s="6">
        <v>8.4896821374192702E-2</v>
      </c>
      <c r="F19" s="6">
        <v>0.34695700229137838</v>
      </c>
      <c r="G19" s="6">
        <v>0.51440032492138621</v>
      </c>
      <c r="H19" s="6">
        <v>1</v>
      </c>
    </row>
    <row r="21" spans="1:11" x14ac:dyDescent="0.3">
      <c r="A21" s="3" t="s">
        <v>121</v>
      </c>
    </row>
    <row r="22" spans="1:11" x14ac:dyDescent="0.3">
      <c r="A22" s="3" t="s">
        <v>124</v>
      </c>
      <c r="E22" s="22">
        <v>-0.38</v>
      </c>
      <c r="F22" s="22">
        <v>-0.35</v>
      </c>
      <c r="G22" s="22">
        <v>-0.34</v>
      </c>
    </row>
    <row r="23" spans="1:11" x14ac:dyDescent="0.3">
      <c r="A23" s="3" t="s">
        <v>125</v>
      </c>
      <c r="E23" s="22">
        <v>-0.55000000000000004</v>
      </c>
      <c r="F23" s="22">
        <v>-0.39</v>
      </c>
      <c r="G23" s="22">
        <v>-0.33</v>
      </c>
    </row>
    <row r="25" spans="1:11" x14ac:dyDescent="0.3">
      <c r="A25" t="s">
        <v>122</v>
      </c>
      <c r="B25">
        <v>0</v>
      </c>
      <c r="C25" s="35">
        <v>-0.36399999999999999</v>
      </c>
      <c r="D25" s="22">
        <v>-1</v>
      </c>
      <c r="E25" s="22">
        <v>-0.55000000000000004</v>
      </c>
      <c r="F25" s="22">
        <v>-0.37</v>
      </c>
      <c r="G25" s="22">
        <v>-0.33</v>
      </c>
    </row>
    <row r="26" spans="1:11" x14ac:dyDescent="0.3">
      <c r="A26" t="s">
        <v>123</v>
      </c>
      <c r="B26">
        <f t="shared" ref="B26:G26" si="0">B18*(1+B25)</f>
        <v>28000</v>
      </c>
      <c r="C26">
        <f t="shared" si="0"/>
        <v>27619.037760000003</v>
      </c>
      <c r="D26">
        <f t="shared" si="0"/>
        <v>0</v>
      </c>
      <c r="E26">
        <f t="shared" si="0"/>
        <v>52202.7</v>
      </c>
      <c r="F26">
        <f t="shared" si="0"/>
        <v>298679.37119999999</v>
      </c>
      <c r="G26">
        <f t="shared" si="0"/>
        <v>470939.43559999991</v>
      </c>
      <c r="H26">
        <f>SUM(B26:G26)</f>
        <v>877440.54455999983</v>
      </c>
      <c r="I26">
        <f>H26-H18</f>
        <v>-488994.5954400003</v>
      </c>
    </row>
    <row r="27" spans="1:11" x14ac:dyDescent="0.3">
      <c r="H27" s="34">
        <f>H26/H18</f>
        <v>0.64213845126962976</v>
      </c>
      <c r="K27">
        <f>SUM(E26:G26)</f>
        <v>821821.50679999986</v>
      </c>
    </row>
    <row r="28" spans="1:11" x14ac:dyDescent="0.3">
      <c r="H28" s="36">
        <f>1-H27</f>
        <v>0.35786154873037024</v>
      </c>
      <c r="K28" s="34">
        <f>1-K27/K18</f>
        <v>0.36440469015918497</v>
      </c>
    </row>
    <row r="30" spans="1:11" x14ac:dyDescent="0.3">
      <c r="A30" t="s">
        <v>126</v>
      </c>
      <c r="C30" s="22">
        <v>-0.37</v>
      </c>
      <c r="E30" s="22">
        <v>-0.54</v>
      </c>
      <c r="F30" s="22">
        <v>-0.39</v>
      </c>
      <c r="G30" s="22">
        <v>-0.34</v>
      </c>
    </row>
    <row r="31" spans="1:11" x14ac:dyDescent="0.3">
      <c r="B31">
        <f>B18*(1+B30)</f>
        <v>28000</v>
      </c>
      <c r="C31">
        <f>C18*(1+C30)</f>
        <v>27358.480800000001</v>
      </c>
      <c r="D31">
        <v>0</v>
      </c>
      <c r="E31">
        <f t="shared" ref="E31:G31" si="1">E18*(1+E30)</f>
        <v>53362.759999999995</v>
      </c>
      <c r="F31">
        <f t="shared" si="1"/>
        <v>289197.48639999999</v>
      </c>
      <c r="G31">
        <f t="shared" si="1"/>
        <v>463910.48879999988</v>
      </c>
      <c r="H31">
        <f>SUM(B31:G31)</f>
        <v>861829.21599999978</v>
      </c>
    </row>
    <row r="32" spans="1:11" x14ac:dyDescent="0.3">
      <c r="H32">
        <f>H31/H18</f>
        <v>0.63071359245049841</v>
      </c>
    </row>
    <row r="33" spans="1:8" x14ac:dyDescent="0.3">
      <c r="H33" s="37">
        <f>1-H32</f>
        <v>0.36928640754950159</v>
      </c>
    </row>
    <row r="34" spans="1:8" x14ac:dyDescent="0.3">
      <c r="A34" t="s">
        <v>130</v>
      </c>
      <c r="C34" t="s">
        <v>131</v>
      </c>
    </row>
    <row r="35" spans="1:8" x14ac:dyDescent="0.3">
      <c r="A35" s="40" t="s">
        <v>63</v>
      </c>
      <c r="B35" s="40" t="s">
        <v>109</v>
      </c>
      <c r="C35" s="40" t="s">
        <v>110</v>
      </c>
      <c r="D35" s="40" t="s">
        <v>113</v>
      </c>
      <c r="E35" s="40" t="s">
        <v>114</v>
      </c>
      <c r="F35" s="40" t="s">
        <v>115</v>
      </c>
      <c r="G35" s="40" t="s">
        <v>116</v>
      </c>
      <c r="H35" s="40" t="s">
        <v>64</v>
      </c>
    </row>
    <row r="36" spans="1:8" x14ac:dyDescent="0.3">
      <c r="A36" s="38" t="s">
        <v>3</v>
      </c>
      <c r="B36" s="39">
        <v>137283.56</v>
      </c>
      <c r="C36" s="39"/>
      <c r="D36" s="39"/>
      <c r="E36" s="39"/>
      <c r="F36" s="39">
        <v>141505.36000000002</v>
      </c>
      <c r="G36" s="39">
        <v>155328.69999999998</v>
      </c>
      <c r="H36" s="39">
        <v>434117.62</v>
      </c>
    </row>
    <row r="37" spans="1:8" x14ac:dyDescent="0.3">
      <c r="B37">
        <f>B36/H36</f>
        <v>0.31623586252960662</v>
      </c>
      <c r="F37">
        <f>F36/H36</f>
        <v>0.32596087668590834</v>
      </c>
      <c r="G37">
        <f>G36/H36</f>
        <v>0.35780326078448504</v>
      </c>
    </row>
    <row r="40" spans="1:8" x14ac:dyDescent="0.3">
      <c r="A40" s="3" t="s">
        <v>134</v>
      </c>
    </row>
    <row r="41" spans="1:8" x14ac:dyDescent="0.3">
      <c r="A41" s="40" t="s">
        <v>63</v>
      </c>
      <c r="B41" s="40" t="s">
        <v>110</v>
      </c>
      <c r="C41" s="40" t="s">
        <v>113</v>
      </c>
      <c r="D41" s="40" t="s">
        <v>114</v>
      </c>
      <c r="E41" s="40" t="s">
        <v>115</v>
      </c>
      <c r="F41" s="40" t="s">
        <v>116</v>
      </c>
      <c r="G41" s="40" t="s">
        <v>117</v>
      </c>
      <c r="H41" s="40" t="s">
        <v>64</v>
      </c>
    </row>
    <row r="42" spans="1:8" x14ac:dyDescent="0.3">
      <c r="A42" s="3" t="s">
        <v>135</v>
      </c>
      <c r="B42" s="42">
        <f>B18</f>
        <v>28000</v>
      </c>
      <c r="C42" s="42">
        <f t="shared" ref="C42:H42" si="2">C18</f>
        <v>43426.16</v>
      </c>
      <c r="D42" s="42">
        <f t="shared" si="2"/>
        <v>2014.06</v>
      </c>
      <c r="E42" s="43">
        <f t="shared" si="2"/>
        <v>116006</v>
      </c>
      <c r="F42" s="43">
        <f t="shared" si="2"/>
        <v>474094.24</v>
      </c>
      <c r="G42" s="43">
        <f t="shared" si="2"/>
        <v>702894.67999999993</v>
      </c>
      <c r="H42">
        <f t="shared" si="2"/>
        <v>1366435.1400000001</v>
      </c>
    </row>
    <row r="43" spans="1:8" x14ac:dyDescent="0.3">
      <c r="A43" s="3" t="s">
        <v>136</v>
      </c>
      <c r="B43" s="42">
        <v>0</v>
      </c>
      <c r="C43" s="42">
        <v>0</v>
      </c>
      <c r="D43" s="42">
        <v>0</v>
      </c>
      <c r="E43" s="17">
        <f>F36*0.6</f>
        <v>84903.216</v>
      </c>
      <c r="F43" s="17">
        <f>G36</f>
        <v>155328.69999999998</v>
      </c>
      <c r="G43" s="17">
        <f>B36*0.9</f>
        <v>123555.204</v>
      </c>
      <c r="H43" s="41">
        <f>SUM(B43:G43)</f>
        <v>363787.12</v>
      </c>
    </row>
    <row r="44" spans="1:8" x14ac:dyDescent="0.3">
      <c r="A44" s="3" t="s">
        <v>75</v>
      </c>
      <c r="B44" s="41">
        <f t="shared" ref="B44:G44" si="3">B42+B43</f>
        <v>28000</v>
      </c>
      <c r="C44" s="41">
        <f t="shared" si="3"/>
        <v>43426.16</v>
      </c>
      <c r="D44" s="41">
        <f t="shared" si="3"/>
        <v>2014.06</v>
      </c>
      <c r="E44" s="41">
        <f t="shared" si="3"/>
        <v>200909.21600000001</v>
      </c>
      <c r="F44" s="41">
        <f t="shared" si="3"/>
        <v>629422.93999999994</v>
      </c>
      <c r="G44" s="41">
        <f t="shared" si="3"/>
        <v>826449.88399999996</v>
      </c>
      <c r="H44" s="41">
        <f>H42+H43</f>
        <v>1730222.2600000002</v>
      </c>
    </row>
    <row r="45" spans="1:8" x14ac:dyDescent="0.3">
      <c r="B45" s="6">
        <f>B44/$H$44</f>
        <v>1.6182892017583911E-2</v>
      </c>
      <c r="C45" s="6">
        <f t="shared" ref="C45:H45" si="4">C44/$H$44</f>
        <v>2.5098602072082924E-2</v>
      </c>
      <c r="D45" s="6">
        <f t="shared" si="4"/>
        <v>1.1640469820333947E-3</v>
      </c>
      <c r="E45" s="6">
        <f t="shared" si="4"/>
        <v>0.11611757670948009</v>
      </c>
      <c r="F45" s="6">
        <f t="shared" si="4"/>
        <v>0.36378155255036415</v>
      </c>
      <c r="G45" s="6">
        <f t="shared" si="4"/>
        <v>0.47765532966845536</v>
      </c>
      <c r="H45" s="6">
        <f t="shared" si="4"/>
        <v>1</v>
      </c>
    </row>
    <row r="47" spans="1:8" x14ac:dyDescent="0.3">
      <c r="F47" s="3" t="s">
        <v>140</v>
      </c>
      <c r="G47" s="22">
        <f>G45+E45</f>
        <v>0.59377290637793545</v>
      </c>
      <c r="H47" s="37">
        <v>0.62</v>
      </c>
    </row>
    <row r="48" spans="1:8" x14ac:dyDescent="0.3">
      <c r="A48" s="3"/>
      <c r="F48" s="3" t="s">
        <v>141</v>
      </c>
      <c r="G48" s="22">
        <f>F45</f>
        <v>0.36378155255036415</v>
      </c>
      <c r="H48" s="37">
        <v>0.38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A0165-5118-4BE7-AE31-FE6893906C69}">
  <dimension ref="A1:N72"/>
  <sheetViews>
    <sheetView topLeftCell="A37" workbookViewId="0">
      <selection activeCell="A55" sqref="A55:C62"/>
    </sheetView>
    <sheetView workbookViewId="1"/>
  </sheetViews>
  <sheetFormatPr baseColWidth="10" defaultRowHeight="14.4" x14ac:dyDescent="0.3"/>
  <cols>
    <col min="1" max="1" width="15.109375" customWidth="1"/>
  </cols>
  <sheetData>
    <row r="1" spans="1:2" x14ac:dyDescent="0.3">
      <c r="A1" s="2" t="s">
        <v>108</v>
      </c>
      <c r="B1" s="3" t="s">
        <v>137</v>
      </c>
    </row>
    <row r="17" spans="1:13" x14ac:dyDescent="0.3">
      <c r="M17" s="3" t="s">
        <v>146</v>
      </c>
    </row>
    <row r="18" spans="1:13" x14ac:dyDescent="0.3">
      <c r="A18" s="3" t="s">
        <v>142</v>
      </c>
    </row>
    <row r="19" spans="1:13" x14ac:dyDescent="0.3">
      <c r="B19">
        <v>2020</v>
      </c>
      <c r="C19">
        <v>2021</v>
      </c>
      <c r="D19">
        <v>2022</v>
      </c>
      <c r="E19">
        <v>2023</v>
      </c>
      <c r="F19">
        <v>2024</v>
      </c>
      <c r="G19">
        <v>2025</v>
      </c>
      <c r="H19">
        <v>2026</v>
      </c>
    </row>
    <row r="20" spans="1:13" x14ac:dyDescent="0.3">
      <c r="A20" s="3" t="s">
        <v>132</v>
      </c>
      <c r="B20" s="6">
        <v>-0.17</v>
      </c>
      <c r="C20" s="6">
        <v>-0.18</v>
      </c>
      <c r="D20" s="6">
        <v>-0.03</v>
      </c>
      <c r="E20" s="6">
        <v>0.15</v>
      </c>
      <c r="F20" s="6">
        <v>0.28000000000000003</v>
      </c>
      <c r="G20" s="6">
        <v>0.28000000000000003</v>
      </c>
      <c r="H20" s="6">
        <v>0.28000000000000003</v>
      </c>
      <c r="I20" s="22">
        <f>H20</f>
        <v>0.28000000000000003</v>
      </c>
    </row>
    <row r="21" spans="1:13" x14ac:dyDescent="0.3">
      <c r="A21" s="3" t="s">
        <v>133</v>
      </c>
      <c r="B21" s="6">
        <v>-0.25</v>
      </c>
      <c r="C21" s="6">
        <v>-0.35</v>
      </c>
      <c r="D21" s="6">
        <v>-0.11</v>
      </c>
      <c r="E21" s="6">
        <v>-0.03</v>
      </c>
      <c r="F21" s="6">
        <v>-0.03</v>
      </c>
      <c r="G21" s="6">
        <v>-0.03</v>
      </c>
      <c r="H21" s="6">
        <v>-0.03</v>
      </c>
      <c r="I21" s="22">
        <f>H21</f>
        <v>-0.03</v>
      </c>
    </row>
    <row r="25" spans="1:13" x14ac:dyDescent="0.3">
      <c r="A25" s="3" t="s">
        <v>138</v>
      </c>
      <c r="B25" s="6">
        <v>-0.25</v>
      </c>
      <c r="C25" s="6">
        <v>-0.26</v>
      </c>
      <c r="D25" s="6">
        <v>-0.23</v>
      </c>
      <c r="E25" s="6">
        <v>-0.12</v>
      </c>
      <c r="F25" s="6">
        <v>0.12</v>
      </c>
      <c r="G25" s="6">
        <v>0.12</v>
      </c>
      <c r="H25" s="6">
        <v>0.12</v>
      </c>
      <c r="I25" s="22">
        <f t="shared" ref="I25:I26" si="0">H25</f>
        <v>0.12</v>
      </c>
    </row>
    <row r="26" spans="1:13" x14ac:dyDescent="0.3">
      <c r="A26" s="3" t="s">
        <v>139</v>
      </c>
      <c r="B26" s="6">
        <v>-0.6</v>
      </c>
      <c r="C26" s="6">
        <v>-0.57999999999999996</v>
      </c>
      <c r="D26" s="6">
        <v>-0.44</v>
      </c>
      <c r="E26" s="6">
        <v>-0.27</v>
      </c>
      <c r="F26" s="6">
        <v>-0.27</v>
      </c>
      <c r="G26" s="6">
        <v>-0.27</v>
      </c>
      <c r="H26" s="6">
        <v>-0.27</v>
      </c>
      <c r="I26" s="22">
        <f t="shared" si="0"/>
        <v>-0.27</v>
      </c>
    </row>
    <row r="28" spans="1:13" x14ac:dyDescent="0.3">
      <c r="A28" s="2" t="s">
        <v>143</v>
      </c>
    </row>
    <row r="29" spans="1:13" x14ac:dyDescent="0.3">
      <c r="A29" s="3" t="s">
        <v>132</v>
      </c>
      <c r="B29" s="6">
        <f>B20*3/12+C20*9/12</f>
        <v>-0.17749999999999999</v>
      </c>
      <c r="C29" s="6">
        <f t="shared" ref="C29:H29" si="1">C20*3/12+D20*9/12</f>
        <v>-6.7500000000000004E-2</v>
      </c>
      <c r="D29" s="6">
        <f t="shared" si="1"/>
        <v>0.10499999999999998</v>
      </c>
      <c r="E29" s="6">
        <f t="shared" si="1"/>
        <v>0.24750000000000005</v>
      </c>
      <c r="F29" s="6">
        <f t="shared" si="1"/>
        <v>0.28000000000000003</v>
      </c>
      <c r="G29" s="6">
        <f t="shared" si="1"/>
        <v>0.28000000000000003</v>
      </c>
      <c r="H29" s="6">
        <f t="shared" si="1"/>
        <v>0.28000000000000003</v>
      </c>
    </row>
    <row r="30" spans="1:13" x14ac:dyDescent="0.3">
      <c r="A30" s="3" t="s">
        <v>133</v>
      </c>
      <c r="B30" s="6">
        <f>B21*3/12+C21*9/12</f>
        <v>-0.32500000000000001</v>
      </c>
      <c r="C30" s="6">
        <f t="shared" ref="C30:H30" si="2">C21*3/12+D21*9/12</f>
        <v>-0.16999999999999998</v>
      </c>
      <c r="D30" s="6">
        <f t="shared" si="2"/>
        <v>-0.05</v>
      </c>
      <c r="E30" s="6">
        <f t="shared" si="2"/>
        <v>-3.0000000000000002E-2</v>
      </c>
      <c r="F30" s="6">
        <f t="shared" si="2"/>
        <v>-3.0000000000000002E-2</v>
      </c>
      <c r="G30" s="6">
        <f t="shared" si="2"/>
        <v>-3.0000000000000002E-2</v>
      </c>
      <c r="H30" s="6">
        <f t="shared" si="2"/>
        <v>-3.0000000000000002E-2</v>
      </c>
    </row>
    <row r="31" spans="1:13" x14ac:dyDescent="0.3">
      <c r="A31" s="3" t="s">
        <v>145</v>
      </c>
      <c r="B31" s="6">
        <f>B30*0.62+B29*0.38</f>
        <v>-0.26895000000000002</v>
      </c>
      <c r="C31" s="6">
        <f t="shared" ref="C31:H31" si="3">C30*0.62+C29*0.38</f>
        <v>-0.13105</v>
      </c>
      <c r="D31" s="6">
        <f t="shared" si="3"/>
        <v>8.8999999999999913E-3</v>
      </c>
      <c r="E31" s="6">
        <f t="shared" si="3"/>
        <v>7.5450000000000017E-2</v>
      </c>
      <c r="F31" s="6">
        <f t="shared" si="3"/>
        <v>8.7800000000000003E-2</v>
      </c>
      <c r="G31" s="6">
        <f t="shared" si="3"/>
        <v>8.7800000000000003E-2</v>
      </c>
      <c r="H31" s="6">
        <f t="shared" si="3"/>
        <v>8.7800000000000003E-2</v>
      </c>
    </row>
    <row r="33" spans="1:14" x14ac:dyDescent="0.3">
      <c r="A33" s="3" t="s">
        <v>138</v>
      </c>
      <c r="B33" s="6">
        <f t="shared" ref="B33:H34" si="4">B25*3/12+C25*9/12</f>
        <v>-0.25749999999999995</v>
      </c>
      <c r="C33" s="6">
        <f t="shared" si="4"/>
        <v>-0.23750000000000002</v>
      </c>
      <c r="D33" s="6">
        <f t="shared" si="4"/>
        <v>-0.14750000000000002</v>
      </c>
      <c r="E33" s="6">
        <f t="shared" si="4"/>
        <v>6.0000000000000012E-2</v>
      </c>
      <c r="F33" s="6">
        <f t="shared" si="4"/>
        <v>0.12000000000000001</v>
      </c>
      <c r="G33" s="6">
        <f t="shared" si="4"/>
        <v>0.12000000000000001</v>
      </c>
      <c r="H33" s="6">
        <f t="shared" si="4"/>
        <v>0.12000000000000001</v>
      </c>
    </row>
    <row r="34" spans="1:14" x14ac:dyDescent="0.3">
      <c r="A34" s="3" t="s">
        <v>144</v>
      </c>
      <c r="B34" s="6">
        <f t="shared" si="4"/>
        <v>-0.58499999999999996</v>
      </c>
      <c r="C34" s="6">
        <f t="shared" si="4"/>
        <v>-0.47499999999999998</v>
      </c>
      <c r="D34" s="6">
        <f t="shared" si="4"/>
        <v>-0.3125</v>
      </c>
      <c r="E34" s="6">
        <f t="shared" si="4"/>
        <v>-0.27</v>
      </c>
      <c r="F34" s="6">
        <f t="shared" si="4"/>
        <v>-0.27</v>
      </c>
      <c r="G34" s="6">
        <f t="shared" si="4"/>
        <v>-0.27</v>
      </c>
      <c r="H34" s="6">
        <f t="shared" si="4"/>
        <v>-0.27</v>
      </c>
    </row>
    <row r="35" spans="1:14" x14ac:dyDescent="0.3">
      <c r="A35" s="3" t="s">
        <v>145</v>
      </c>
      <c r="B35" s="6">
        <f>B34*0.62+B33*0.38</f>
        <v>-0.46054999999999996</v>
      </c>
      <c r="C35" s="6">
        <f t="shared" ref="C35:H35" si="5">C34*0.62+C33*0.38</f>
        <v>-0.38474999999999998</v>
      </c>
      <c r="D35" s="6">
        <f t="shared" si="5"/>
        <v>-0.24980000000000002</v>
      </c>
      <c r="E35" s="6">
        <f t="shared" si="5"/>
        <v>-0.14460000000000001</v>
      </c>
      <c r="F35" s="6">
        <f t="shared" si="5"/>
        <v>-0.12180000000000002</v>
      </c>
      <c r="G35" s="6">
        <f t="shared" si="5"/>
        <v>-0.12180000000000002</v>
      </c>
      <c r="H35" s="6">
        <f t="shared" si="5"/>
        <v>-0.12180000000000002</v>
      </c>
    </row>
    <row r="37" spans="1:14" x14ac:dyDescent="0.3">
      <c r="A37" s="3" t="s">
        <v>147</v>
      </c>
      <c r="B37" s="3" t="s">
        <v>75</v>
      </c>
    </row>
    <row r="38" spans="1:14" x14ac:dyDescent="0.3">
      <c r="A38" s="3" t="s">
        <v>148</v>
      </c>
      <c r="B38" s="6">
        <f>B20*9/12</f>
        <v>-0.1275</v>
      </c>
    </row>
    <row r="39" spans="1:14" x14ac:dyDescent="0.3">
      <c r="A39" s="3" t="s">
        <v>149</v>
      </c>
      <c r="B39" s="6">
        <f>B21*9/12</f>
        <v>-0.1875</v>
      </c>
    </row>
    <row r="41" spans="1:14" x14ac:dyDescent="0.3">
      <c r="A41" s="3" t="s">
        <v>150</v>
      </c>
      <c r="B41" s="6">
        <f>B25*9/12</f>
        <v>-0.1875</v>
      </c>
    </row>
    <row r="42" spans="1:14" x14ac:dyDescent="0.3">
      <c r="A42" s="3" t="s">
        <v>151</v>
      </c>
      <c r="B42" s="6">
        <f>B26*9/12</f>
        <v>-0.44999999999999996</v>
      </c>
    </row>
    <row r="44" spans="1:14" x14ac:dyDescent="0.3">
      <c r="A44" s="2" t="s">
        <v>152</v>
      </c>
      <c r="N44" s="3" t="s">
        <v>158</v>
      </c>
    </row>
    <row r="45" spans="1:14" x14ac:dyDescent="0.3">
      <c r="B45">
        <v>2020</v>
      </c>
      <c r="C45">
        <v>2021</v>
      </c>
      <c r="D45">
        <v>2022</v>
      </c>
      <c r="E45">
        <v>2023</v>
      </c>
      <c r="F45">
        <v>2024</v>
      </c>
      <c r="G45">
        <v>2025</v>
      </c>
      <c r="H45">
        <v>2026</v>
      </c>
    </row>
    <row r="46" spans="1:14" x14ac:dyDescent="0.3">
      <c r="A46" s="3" t="s">
        <v>132</v>
      </c>
      <c r="B46" s="22">
        <f>B29-0.03</f>
        <v>-0.20749999999999999</v>
      </c>
      <c r="C46" s="22">
        <f>C29-0.05</f>
        <v>-0.11750000000000001</v>
      </c>
      <c r="D46" s="22">
        <f>D29-0.05</f>
        <v>5.4999999999999979E-2</v>
      </c>
      <c r="E46" s="22">
        <f t="shared" ref="E46:H47" si="6">E29</f>
        <v>0.24750000000000005</v>
      </c>
      <c r="F46" s="22">
        <f t="shared" si="6"/>
        <v>0.28000000000000003</v>
      </c>
      <c r="G46" s="22">
        <f t="shared" si="6"/>
        <v>0.28000000000000003</v>
      </c>
      <c r="H46" s="22">
        <f t="shared" si="6"/>
        <v>0.28000000000000003</v>
      </c>
    </row>
    <row r="47" spans="1:14" x14ac:dyDescent="0.3">
      <c r="A47" s="3" t="s">
        <v>133</v>
      </c>
      <c r="B47" s="22">
        <f>B30-0.05</f>
        <v>-0.375</v>
      </c>
      <c r="C47" s="22">
        <f>C30-0.1</f>
        <v>-0.27</v>
      </c>
      <c r="D47" s="22">
        <f>D30-0.04</f>
        <v>-0.09</v>
      </c>
      <c r="E47" s="22">
        <f t="shared" si="6"/>
        <v>-3.0000000000000002E-2</v>
      </c>
      <c r="F47" s="22">
        <f t="shared" si="6"/>
        <v>-3.0000000000000002E-2</v>
      </c>
      <c r="G47" s="22">
        <f t="shared" si="6"/>
        <v>-3.0000000000000002E-2</v>
      </c>
      <c r="H47" s="22">
        <f t="shared" si="6"/>
        <v>-3.0000000000000002E-2</v>
      </c>
    </row>
    <row r="48" spans="1:14" x14ac:dyDescent="0.3">
      <c r="A48" s="3" t="s">
        <v>145</v>
      </c>
      <c r="B48" s="6">
        <f>B47*0.62+B46*0.38</f>
        <v>-0.31135000000000002</v>
      </c>
      <c r="C48" s="6">
        <f t="shared" ref="C48" si="7">C47*0.62+C46*0.38</f>
        <v>-0.21205000000000002</v>
      </c>
      <c r="D48" s="6">
        <f t="shared" ref="D48" si="8">D47*0.62+D46*0.38</f>
        <v>-3.49E-2</v>
      </c>
      <c r="E48" s="6">
        <f t="shared" ref="E48" si="9">E47*0.62+E46*0.38</f>
        <v>7.5450000000000017E-2</v>
      </c>
      <c r="F48" s="6">
        <f t="shared" ref="F48" si="10">F47*0.62+F46*0.38</f>
        <v>8.7800000000000003E-2</v>
      </c>
      <c r="G48" s="6">
        <f t="shared" ref="G48" si="11">G47*0.62+G46*0.38</f>
        <v>8.7800000000000003E-2</v>
      </c>
      <c r="H48" s="6">
        <f t="shared" ref="H48" si="12">H47*0.62+H46*0.38</f>
        <v>8.7800000000000003E-2</v>
      </c>
    </row>
    <row r="49" spans="1:11" x14ac:dyDescent="0.3">
      <c r="B49">
        <v>2020</v>
      </c>
      <c r="C49">
        <v>2021</v>
      </c>
      <c r="D49">
        <v>2022</v>
      </c>
      <c r="E49">
        <v>2023</v>
      </c>
      <c r="F49">
        <v>2024</v>
      </c>
      <c r="G49">
        <v>2025</v>
      </c>
      <c r="H49">
        <v>2026</v>
      </c>
    </row>
    <row r="50" spans="1:11" x14ac:dyDescent="0.3">
      <c r="A50" s="3" t="s">
        <v>138</v>
      </c>
      <c r="B50" s="22">
        <f>B33-0.05</f>
        <v>-0.30749999999999994</v>
      </c>
      <c r="C50" s="22">
        <f>C33-0.1</f>
        <v>-0.33750000000000002</v>
      </c>
      <c r="D50" s="22">
        <f>D33-0.04</f>
        <v>-0.18750000000000003</v>
      </c>
      <c r="E50" s="22">
        <f t="shared" ref="E50:H51" si="13">E33</f>
        <v>6.0000000000000012E-2</v>
      </c>
      <c r="F50" s="22">
        <f t="shared" si="13"/>
        <v>0.12000000000000001</v>
      </c>
      <c r="G50" s="22">
        <f t="shared" si="13"/>
        <v>0.12000000000000001</v>
      </c>
      <c r="H50" s="22">
        <f t="shared" si="13"/>
        <v>0.12000000000000001</v>
      </c>
    </row>
    <row r="51" spans="1:11" x14ac:dyDescent="0.3">
      <c r="A51" s="3" t="s">
        <v>144</v>
      </c>
      <c r="B51" s="22">
        <f>B34-0.1</f>
        <v>-0.68499999999999994</v>
      </c>
      <c r="C51" s="22">
        <f>C34-0.2</f>
        <v>-0.67500000000000004</v>
      </c>
      <c r="D51" s="22">
        <f>D34-0.15</f>
        <v>-0.46250000000000002</v>
      </c>
      <c r="E51" s="22">
        <f t="shared" si="13"/>
        <v>-0.27</v>
      </c>
      <c r="F51" s="22">
        <f t="shared" si="13"/>
        <v>-0.27</v>
      </c>
      <c r="G51" s="22">
        <f t="shared" si="13"/>
        <v>-0.27</v>
      </c>
      <c r="H51" s="22">
        <f t="shared" si="13"/>
        <v>-0.27</v>
      </c>
    </row>
    <row r="52" spans="1:11" x14ac:dyDescent="0.3">
      <c r="A52" s="3" t="s">
        <v>145</v>
      </c>
      <c r="B52" s="6">
        <f>B51*0.62+B50*0.38</f>
        <v>-0.54154999999999998</v>
      </c>
      <c r="C52" s="6">
        <f t="shared" ref="C52" si="14">C51*0.62+C50*0.38</f>
        <v>-0.54675000000000007</v>
      </c>
      <c r="D52" s="6">
        <f t="shared" ref="D52" si="15">D51*0.62+D50*0.38</f>
        <v>-0.35799999999999998</v>
      </c>
      <c r="E52" s="6">
        <f t="shared" ref="E52" si="16">E51*0.62+E50*0.38</f>
        <v>-0.14460000000000001</v>
      </c>
      <c r="F52" s="6">
        <f t="shared" ref="F52" si="17">F51*0.62+F50*0.38</f>
        <v>-0.12180000000000002</v>
      </c>
      <c r="G52" s="6">
        <f t="shared" ref="G52" si="18">G51*0.62+G50*0.38</f>
        <v>-0.12180000000000002</v>
      </c>
      <c r="H52" s="6">
        <f t="shared" ref="H52" si="19">H51*0.62+H50*0.38</f>
        <v>-0.12180000000000002</v>
      </c>
    </row>
    <row r="53" spans="1:11" x14ac:dyDescent="0.3">
      <c r="A53" s="3"/>
      <c r="B53" s="6"/>
      <c r="C53" s="6"/>
      <c r="D53" s="6"/>
      <c r="E53" s="6"/>
      <c r="F53" s="6"/>
      <c r="G53" s="6"/>
      <c r="H53" s="6"/>
    </row>
    <row r="54" spans="1:11" x14ac:dyDescent="0.3">
      <c r="A54" s="3" t="s">
        <v>162</v>
      </c>
      <c r="E54" s="3" t="s">
        <v>163</v>
      </c>
      <c r="I54" s="3" t="s">
        <v>164</v>
      </c>
    </row>
    <row r="55" spans="1:11" x14ac:dyDescent="0.3">
      <c r="B55" s="3" t="s">
        <v>153</v>
      </c>
      <c r="C55" s="3" t="s">
        <v>154</v>
      </c>
      <c r="F55" s="3" t="s">
        <v>155</v>
      </c>
      <c r="G55" s="3" t="s">
        <v>156</v>
      </c>
      <c r="J55" s="3" t="s">
        <v>157</v>
      </c>
      <c r="K55" s="3" t="s">
        <v>157</v>
      </c>
    </row>
    <row r="56" spans="1:11" x14ac:dyDescent="0.3">
      <c r="A56">
        <v>2020</v>
      </c>
      <c r="B56" s="6">
        <f>B48</f>
        <v>-0.31135000000000002</v>
      </c>
      <c r="C56" s="22">
        <f>B52</f>
        <v>-0.54154999999999998</v>
      </c>
      <c r="E56">
        <v>2020</v>
      </c>
      <c r="F56" s="6">
        <v>-0.25</v>
      </c>
      <c r="G56" s="6">
        <v>-0.3</v>
      </c>
      <c r="I56">
        <v>2020</v>
      </c>
      <c r="J56" s="6">
        <v>-0.05</v>
      </c>
      <c r="K56" s="6">
        <v>-0.11</v>
      </c>
    </row>
    <row r="57" spans="1:11" x14ac:dyDescent="0.3">
      <c r="A57">
        <v>2021</v>
      </c>
      <c r="B57" s="6">
        <f>C48</f>
        <v>-0.21205000000000002</v>
      </c>
      <c r="C57" s="22">
        <f>C52</f>
        <v>-0.54675000000000007</v>
      </c>
      <c r="E57">
        <v>2021</v>
      </c>
      <c r="F57" s="6">
        <v>-0.28000000000000003</v>
      </c>
      <c r="G57" s="6">
        <v>-0.35</v>
      </c>
      <c r="I57">
        <v>2021</v>
      </c>
      <c r="J57" s="6">
        <v>0</v>
      </c>
      <c r="K57" s="6">
        <v>-0.08</v>
      </c>
    </row>
    <row r="58" spans="1:11" x14ac:dyDescent="0.3">
      <c r="A58">
        <v>2022</v>
      </c>
      <c r="B58" s="6">
        <f>D48</f>
        <v>-3.49E-2</v>
      </c>
      <c r="C58" s="22">
        <f>D52</f>
        <v>-0.35799999999999998</v>
      </c>
      <c r="E58">
        <v>2022</v>
      </c>
      <c r="F58" s="6">
        <v>-0.1</v>
      </c>
      <c r="G58" s="6">
        <v>-0.18</v>
      </c>
      <c r="I58">
        <v>2022</v>
      </c>
      <c r="J58" s="6">
        <v>0</v>
      </c>
      <c r="K58" s="6">
        <v>-0.05</v>
      </c>
    </row>
    <row r="59" spans="1:11" x14ac:dyDescent="0.3">
      <c r="A59">
        <v>2023</v>
      </c>
      <c r="B59" s="6">
        <f>E48</f>
        <v>7.5450000000000017E-2</v>
      </c>
      <c r="C59" s="22">
        <f>E52</f>
        <v>-0.14460000000000001</v>
      </c>
      <c r="E59">
        <v>2023</v>
      </c>
      <c r="F59" s="6">
        <v>0</v>
      </c>
      <c r="G59" s="6">
        <v>-0.12</v>
      </c>
      <c r="I59">
        <v>2023</v>
      </c>
      <c r="J59" s="6">
        <v>0</v>
      </c>
      <c r="K59" s="6">
        <v>-0.02</v>
      </c>
    </row>
    <row r="60" spans="1:11" x14ac:dyDescent="0.3">
      <c r="A60">
        <v>2024</v>
      </c>
      <c r="B60" s="6">
        <f>F48</f>
        <v>8.7800000000000003E-2</v>
      </c>
      <c r="C60" s="22">
        <f>F52</f>
        <v>-0.12180000000000002</v>
      </c>
      <c r="E60">
        <v>2024</v>
      </c>
      <c r="F60" s="6">
        <v>0</v>
      </c>
      <c r="G60" s="6">
        <v>0</v>
      </c>
      <c r="I60">
        <v>2024</v>
      </c>
      <c r="J60" s="6">
        <v>0</v>
      </c>
      <c r="K60" s="6">
        <v>0</v>
      </c>
    </row>
    <row r="61" spans="1:11" x14ac:dyDescent="0.3">
      <c r="A61">
        <v>2025</v>
      </c>
      <c r="B61" s="6">
        <f>G48</f>
        <v>8.7800000000000003E-2</v>
      </c>
      <c r="C61" s="22">
        <f>G52</f>
        <v>-0.12180000000000002</v>
      </c>
      <c r="E61">
        <v>2025</v>
      </c>
      <c r="F61" s="6">
        <v>0</v>
      </c>
      <c r="G61" s="6">
        <v>0</v>
      </c>
      <c r="I61">
        <v>2025</v>
      </c>
      <c r="J61" s="6">
        <v>0</v>
      </c>
      <c r="K61" s="6">
        <v>0</v>
      </c>
    </row>
    <row r="62" spans="1:11" x14ac:dyDescent="0.3">
      <c r="A62">
        <v>2026</v>
      </c>
      <c r="B62" s="6">
        <f>H48</f>
        <v>8.7800000000000003E-2</v>
      </c>
      <c r="C62" s="22">
        <f>H52</f>
        <v>-0.12180000000000002</v>
      </c>
      <c r="E62">
        <v>2026</v>
      </c>
      <c r="F62" s="6">
        <v>0</v>
      </c>
      <c r="G62" s="6">
        <v>0</v>
      </c>
      <c r="I62">
        <v>2026</v>
      </c>
      <c r="J62" s="6">
        <v>0</v>
      </c>
      <c r="K62" s="6">
        <v>0</v>
      </c>
    </row>
    <row r="64" spans="1:11" x14ac:dyDescent="0.3">
      <c r="A64" s="3" t="s">
        <v>161</v>
      </c>
    </row>
    <row r="65" spans="1:3" x14ac:dyDescent="0.3">
      <c r="B65" s="3" t="s">
        <v>159</v>
      </c>
      <c r="C65" s="3" t="s">
        <v>160</v>
      </c>
    </row>
    <row r="66" spans="1:3" x14ac:dyDescent="0.3">
      <c r="A66">
        <v>2020</v>
      </c>
      <c r="B66" s="6">
        <v>-0.41</v>
      </c>
      <c r="C66" s="6">
        <v>-0.49</v>
      </c>
    </row>
    <row r="67" spans="1:3" x14ac:dyDescent="0.3">
      <c r="A67">
        <v>2021</v>
      </c>
      <c r="B67" s="6">
        <v>-0.27</v>
      </c>
      <c r="C67" s="6">
        <v>-0.38</v>
      </c>
    </row>
    <row r="68" spans="1:3" x14ac:dyDescent="0.3">
      <c r="A68">
        <v>2022</v>
      </c>
      <c r="B68" s="6">
        <v>-0.05</v>
      </c>
      <c r="C68" s="6">
        <v>-0.37</v>
      </c>
    </row>
    <row r="69" spans="1:3" x14ac:dyDescent="0.3">
      <c r="A69">
        <v>2023</v>
      </c>
      <c r="B69" s="6">
        <v>7.0000000000000007E-2</v>
      </c>
      <c r="C69" s="6">
        <v>-0.21</v>
      </c>
    </row>
    <row r="70" spans="1:3" x14ac:dyDescent="0.3">
      <c r="A70">
        <v>2024</v>
      </c>
      <c r="B70" s="6">
        <v>0.21</v>
      </c>
      <c r="C70" s="6">
        <v>0.02</v>
      </c>
    </row>
    <row r="71" spans="1:3" x14ac:dyDescent="0.3">
      <c r="A71">
        <v>2025</v>
      </c>
      <c r="B71" s="6">
        <v>0.25</v>
      </c>
      <c r="C71" s="6">
        <v>7.0000000000000007E-2</v>
      </c>
    </row>
    <row r="72" spans="1:3" x14ac:dyDescent="0.3">
      <c r="A72">
        <v>2026</v>
      </c>
      <c r="B72" s="6">
        <v>0.25</v>
      </c>
      <c r="C72" s="6">
        <v>7.0000000000000007E-2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8C18-922A-4BF8-A811-EBCFE88B5748}">
  <dimension ref="A1:BF52"/>
  <sheetViews>
    <sheetView tabSelected="1" zoomScale="70" zoomScaleNormal="70" workbookViewId="0">
      <pane xSplit="1" ySplit="4" topLeftCell="B46" activePane="bottomRight" state="frozen"/>
      <selection pane="topRight" activeCell="B1" sqref="B1"/>
      <selection pane="bottomLeft" activeCell="A5" sqref="A5"/>
      <selection pane="bottomRight" activeCell="A51" sqref="A51"/>
    </sheetView>
    <sheetView topLeftCell="H1" workbookViewId="1">
      <selection activeCell="AC36" sqref="AC36"/>
    </sheetView>
  </sheetViews>
  <sheetFormatPr baseColWidth="10" defaultRowHeight="14.4" x14ac:dyDescent="0.3"/>
  <cols>
    <col min="1" max="1" width="41.88671875" customWidth="1"/>
    <col min="2" max="2" width="7.77734375" customWidth="1"/>
    <col min="3" max="3" width="9.88671875" customWidth="1"/>
    <col min="4" max="4" width="10.77734375" bestFit="1" customWidth="1"/>
    <col min="5" max="5" width="9.44140625" customWidth="1"/>
    <col min="6" max="6" width="10.21875" customWidth="1"/>
    <col min="7" max="7" width="10.77734375" bestFit="1" customWidth="1"/>
    <col min="8" max="8" width="8.88671875" customWidth="1"/>
    <col min="9" max="9" width="11.44140625" customWidth="1"/>
    <col min="10" max="10" width="15.44140625" customWidth="1"/>
    <col min="11" max="16" width="2" style="98" customWidth="1"/>
    <col min="17" max="17" width="9.6640625" style="98" customWidth="1"/>
    <col min="18" max="18" width="7.33203125" style="98" customWidth="1"/>
    <col min="19" max="19" width="8.33203125" style="98" customWidth="1"/>
    <col min="20" max="23" width="7.33203125" style="98" customWidth="1"/>
    <col min="24" max="24" width="8.33203125" style="98" bestFit="1" customWidth="1"/>
    <col min="25" max="25" width="8.21875" style="98" bestFit="1" customWidth="1"/>
    <col min="26" max="28" width="7.33203125" style="98" customWidth="1"/>
    <col min="29" max="29" width="7.77734375" style="98" bestFit="1" customWidth="1"/>
    <col min="30" max="30" width="7.44140625" style="98" bestFit="1" customWidth="1"/>
    <col min="31" max="31" width="8.5546875" style="98" bestFit="1" customWidth="1"/>
    <col min="32" max="32" width="6.77734375" style="98" bestFit="1" customWidth="1"/>
    <col min="33" max="34" width="7.6640625" style="98" bestFit="1" customWidth="1"/>
    <col min="35" max="35" width="7.6640625" style="98" customWidth="1"/>
    <col min="36" max="36" width="5.77734375" bestFit="1" customWidth="1"/>
    <col min="37" max="37" width="10" bestFit="1" customWidth="1"/>
    <col min="38" max="38" width="11.88671875" bestFit="1" customWidth="1"/>
    <col min="39" max="39" width="8.88671875" bestFit="1" customWidth="1"/>
    <col min="43" max="43" width="8.21875" bestFit="1" customWidth="1"/>
    <col min="44" max="44" width="10.33203125" customWidth="1"/>
    <col min="45" max="45" width="7.21875" bestFit="1" customWidth="1"/>
    <col min="46" max="46" width="9.88671875" bestFit="1" customWidth="1"/>
    <col min="47" max="47" width="7.77734375" bestFit="1" customWidth="1"/>
    <col min="48" max="48" width="7.44140625" bestFit="1" customWidth="1"/>
    <col min="49" max="49" width="8.5546875" bestFit="1" customWidth="1"/>
    <col min="50" max="50" width="6.77734375" bestFit="1" customWidth="1"/>
    <col min="51" max="52" width="7.6640625" bestFit="1" customWidth="1"/>
    <col min="53" max="53" width="7.109375" bestFit="1" customWidth="1"/>
    <col min="54" max="54" width="8.33203125" bestFit="1" customWidth="1"/>
    <col min="55" max="55" width="8.21875" bestFit="1" customWidth="1"/>
    <col min="56" max="56" width="6.77734375" bestFit="1" customWidth="1"/>
    <col min="57" max="58" width="7.21875" bestFit="1" customWidth="1"/>
  </cols>
  <sheetData>
    <row r="1" spans="1:58" ht="15" thickBot="1" x14ac:dyDescent="0.35">
      <c r="K1" s="98">
        <f>SUM(K4:K35)</f>
        <v>516</v>
      </c>
      <c r="Q1" s="109" t="s">
        <v>193</v>
      </c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1"/>
      <c r="AF1" s="115"/>
      <c r="AG1" s="115"/>
      <c r="AH1" s="115"/>
      <c r="AI1" s="115"/>
      <c r="AJ1" s="2" t="s">
        <v>167</v>
      </c>
      <c r="AK1" s="2"/>
      <c r="AM1">
        <f>SUM(AM5:AM35)</f>
        <v>601</v>
      </c>
      <c r="AN1">
        <f>SUM(AN5:AN35)</f>
        <v>755.31</v>
      </c>
      <c r="AO1">
        <f ca="1">SUM(AO5:AO35)</f>
        <v>715.66</v>
      </c>
      <c r="AP1">
        <f ca="1">SUM(AP5:AP35)</f>
        <v>660.74</v>
      </c>
      <c r="AQ1" s="103" t="s">
        <v>196</v>
      </c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</row>
    <row r="2" spans="1:58" ht="48.6" customHeight="1" thickBot="1" x14ac:dyDescent="0.35">
      <c r="A2" s="74"/>
      <c r="B2" s="153" t="s">
        <v>167</v>
      </c>
      <c r="C2" s="153"/>
      <c r="D2" s="153"/>
      <c r="E2" s="154"/>
      <c r="F2" s="155" t="s">
        <v>169</v>
      </c>
      <c r="G2" s="153"/>
      <c r="H2" s="153"/>
      <c r="I2" s="154"/>
      <c r="J2" s="58" t="s">
        <v>173</v>
      </c>
      <c r="K2" s="99" t="s">
        <v>184</v>
      </c>
      <c r="L2" s="100" t="s">
        <v>185</v>
      </c>
      <c r="M2" s="119">
        <v>44075</v>
      </c>
      <c r="N2" s="119">
        <v>44105</v>
      </c>
      <c r="O2" s="120">
        <v>44136</v>
      </c>
      <c r="P2" s="121">
        <v>44166</v>
      </c>
      <c r="Q2" s="107">
        <v>44197</v>
      </c>
      <c r="R2" s="107">
        <v>44228</v>
      </c>
      <c r="S2" s="107">
        <v>44256</v>
      </c>
      <c r="T2" s="107">
        <v>44287</v>
      </c>
      <c r="U2" s="107">
        <v>44317</v>
      </c>
      <c r="V2" s="107">
        <v>44348</v>
      </c>
      <c r="W2" s="107">
        <v>44378</v>
      </c>
      <c r="X2" s="107">
        <v>44409</v>
      </c>
      <c r="Y2" s="107">
        <v>44440</v>
      </c>
      <c r="Z2" s="107">
        <v>44470</v>
      </c>
      <c r="AA2" s="107">
        <v>44501</v>
      </c>
      <c r="AB2" s="107">
        <v>44531</v>
      </c>
      <c r="AC2" s="108">
        <v>44562</v>
      </c>
      <c r="AD2" s="108">
        <v>44593</v>
      </c>
      <c r="AE2" s="112">
        <v>44621</v>
      </c>
      <c r="AF2" s="108">
        <v>44652</v>
      </c>
      <c r="AG2" s="112">
        <v>44682</v>
      </c>
      <c r="AH2" s="108">
        <v>44713</v>
      </c>
      <c r="AI2" s="112">
        <v>44743</v>
      </c>
      <c r="AJ2" s="113" t="s">
        <v>191</v>
      </c>
      <c r="AK2" s="114" t="s">
        <v>192</v>
      </c>
      <c r="AL2" s="163" t="s">
        <v>211</v>
      </c>
      <c r="AM2" s="179" t="s">
        <v>216</v>
      </c>
      <c r="AN2" s="138" t="s">
        <v>195</v>
      </c>
      <c r="AO2" s="140" t="s">
        <v>194</v>
      </c>
      <c r="AP2" s="140" t="s">
        <v>218</v>
      </c>
      <c r="AQ2" s="119">
        <v>44075</v>
      </c>
      <c r="AR2" s="120">
        <v>44105</v>
      </c>
      <c r="AS2" s="120">
        <v>44136</v>
      </c>
      <c r="AT2" s="121">
        <v>44166</v>
      </c>
      <c r="AU2" s="141">
        <v>44197</v>
      </c>
      <c r="AV2" s="129">
        <v>44228</v>
      </c>
      <c r="AW2" s="129">
        <v>44256</v>
      </c>
      <c r="AX2" s="129">
        <v>44287</v>
      </c>
      <c r="AY2" s="129">
        <v>44317</v>
      </c>
      <c r="AZ2" s="129">
        <v>44348</v>
      </c>
      <c r="BA2" s="129">
        <v>44378</v>
      </c>
      <c r="BB2" s="129">
        <v>44409</v>
      </c>
      <c r="BC2" s="129">
        <v>44440</v>
      </c>
      <c r="BD2" s="129">
        <v>44470</v>
      </c>
      <c r="BE2" s="129">
        <v>44501</v>
      </c>
      <c r="BF2" s="130">
        <v>44531</v>
      </c>
    </row>
    <row r="3" spans="1:58" x14ac:dyDescent="0.3">
      <c r="A3" s="75" t="s">
        <v>57</v>
      </c>
      <c r="B3" s="44">
        <v>2020</v>
      </c>
      <c r="C3" s="46">
        <v>2021</v>
      </c>
      <c r="D3" s="49">
        <v>2021</v>
      </c>
      <c r="E3" s="76">
        <v>2021</v>
      </c>
      <c r="F3" s="65">
        <v>2021</v>
      </c>
      <c r="G3" s="51">
        <v>2021</v>
      </c>
      <c r="H3" s="52">
        <v>2021</v>
      </c>
      <c r="I3" s="66">
        <v>2022</v>
      </c>
      <c r="AJ3" s="122"/>
      <c r="AK3" s="124"/>
      <c r="AN3" s="122"/>
      <c r="AO3" s="123"/>
      <c r="AP3" s="123"/>
      <c r="AQ3" s="77"/>
      <c r="AR3" s="116"/>
      <c r="AS3" s="116"/>
      <c r="AT3" s="125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4"/>
    </row>
    <row r="4" spans="1:58" x14ac:dyDescent="0.3">
      <c r="A4" s="77">
        <v>0</v>
      </c>
      <c r="B4" s="45" t="s">
        <v>165</v>
      </c>
      <c r="C4" s="48" t="s">
        <v>171</v>
      </c>
      <c r="D4" s="50" t="s">
        <v>168</v>
      </c>
      <c r="E4" s="78" t="s">
        <v>172</v>
      </c>
      <c r="F4" s="67" t="s">
        <v>171</v>
      </c>
      <c r="G4" s="50" t="s">
        <v>168</v>
      </c>
      <c r="H4" s="57" t="s">
        <v>172</v>
      </c>
      <c r="I4" s="68"/>
      <c r="AJ4" s="122"/>
      <c r="AK4" s="124"/>
      <c r="AN4" s="122"/>
      <c r="AO4" s="123"/>
      <c r="AP4" s="123"/>
      <c r="AQ4" s="77"/>
      <c r="AR4" s="116"/>
      <c r="AS4" s="116"/>
      <c r="AT4" s="125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4"/>
    </row>
    <row r="5" spans="1:58" x14ac:dyDescent="0.3">
      <c r="A5" s="92" t="s">
        <v>23</v>
      </c>
      <c r="B5" s="59">
        <v>761.39262499999995</v>
      </c>
      <c r="C5" s="59">
        <v>801.60737500000005</v>
      </c>
      <c r="D5" s="59">
        <v>702</v>
      </c>
      <c r="E5" s="80">
        <f>+(C5+D5)/2</f>
        <v>751.80368750000002</v>
      </c>
      <c r="F5" s="69">
        <v>0</v>
      </c>
      <c r="G5" s="47">
        <v>0</v>
      </c>
      <c r="H5" s="61">
        <v>0</v>
      </c>
      <c r="I5" s="70">
        <v>0</v>
      </c>
      <c r="J5" t="s">
        <v>181</v>
      </c>
      <c r="K5" s="98">
        <f t="shared" ref="K5:K35" si="0">SUM(Q5:AB5)</f>
        <v>0</v>
      </c>
      <c r="L5" s="98" t="s">
        <v>186</v>
      </c>
      <c r="AJ5" s="122"/>
      <c r="AK5" s="124"/>
      <c r="AN5" s="122" t="str">
        <f>IF(AJ5&lt;&gt;"",SUM(Q5:AE5)*AJ5,"")</f>
        <v/>
      </c>
      <c r="AO5" s="123" t="str">
        <f>IF(SUM(AR5:BF5)&gt;0,SUM(AR5:BF5),"")</f>
        <v/>
      </c>
      <c r="AP5" s="123"/>
      <c r="AQ5" s="77"/>
      <c r="AR5" s="116"/>
      <c r="AS5" s="116"/>
      <c r="AT5" s="125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4"/>
    </row>
    <row r="6" spans="1:58" x14ac:dyDescent="0.3">
      <c r="A6" s="79" t="s">
        <v>54</v>
      </c>
      <c r="B6" s="59">
        <v>12.607375000000001</v>
      </c>
      <c r="C6" s="59">
        <v>0</v>
      </c>
      <c r="D6" s="59">
        <v>0</v>
      </c>
      <c r="E6" s="80">
        <f t="shared" ref="E6:E35" si="1">+(C6+D6)/2</f>
        <v>0</v>
      </c>
      <c r="F6" s="69">
        <v>0</v>
      </c>
      <c r="G6" s="47">
        <v>0</v>
      </c>
      <c r="H6" s="61">
        <v>0</v>
      </c>
      <c r="I6" s="70">
        <v>0</v>
      </c>
      <c r="K6" s="98">
        <f t="shared" si="0"/>
        <v>0</v>
      </c>
      <c r="L6" s="98" t="s">
        <v>186</v>
      </c>
      <c r="AJ6" s="122"/>
      <c r="AK6" s="124"/>
      <c r="AN6" s="122" t="str">
        <f t="shared" ref="AN6:AN7" si="2">IF(AJ6&lt;&gt;"",SUM(Q6:AE6)*AJ6,"")</f>
        <v/>
      </c>
      <c r="AO6" s="123" t="str">
        <f t="shared" ref="AO6:AO35" si="3">IF(SUM(AR6:BF6)&gt;0,SUM(AR6:BF6),"")</f>
        <v/>
      </c>
      <c r="AP6" s="123"/>
      <c r="AQ6" s="77"/>
      <c r="AR6" s="116"/>
      <c r="AS6" s="116"/>
      <c r="AT6" s="125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4"/>
    </row>
    <row r="7" spans="1:58" x14ac:dyDescent="0.3">
      <c r="A7" s="92" t="s">
        <v>29</v>
      </c>
      <c r="B7" s="59">
        <v>0</v>
      </c>
      <c r="C7" s="59">
        <v>-100</v>
      </c>
      <c r="D7" s="59">
        <v>-100</v>
      </c>
      <c r="E7" s="80">
        <f t="shared" si="1"/>
        <v>-100</v>
      </c>
      <c r="F7" s="69">
        <v>0</v>
      </c>
      <c r="G7" s="47">
        <v>0</v>
      </c>
      <c r="H7" s="61">
        <v>0</v>
      </c>
      <c r="I7" s="70">
        <v>0</v>
      </c>
      <c r="K7" s="98">
        <f t="shared" si="0"/>
        <v>0</v>
      </c>
      <c r="L7" s="98" t="s">
        <v>186</v>
      </c>
      <c r="AJ7" s="122"/>
      <c r="AK7" s="124"/>
      <c r="AN7" s="122" t="str">
        <f t="shared" si="2"/>
        <v/>
      </c>
      <c r="AO7" s="123" t="str">
        <f t="shared" si="3"/>
        <v/>
      </c>
      <c r="AP7" s="123"/>
      <c r="AQ7" s="77"/>
      <c r="AR7" s="116"/>
      <c r="AS7" s="116"/>
      <c r="AT7" s="125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4"/>
    </row>
    <row r="8" spans="1:58" x14ac:dyDescent="0.3">
      <c r="A8" s="83" t="s">
        <v>31</v>
      </c>
      <c r="B8" s="59">
        <v>0</v>
      </c>
      <c r="C8" s="59">
        <v>32</v>
      </c>
      <c r="D8" s="59">
        <v>32</v>
      </c>
      <c r="E8" s="80">
        <f t="shared" si="1"/>
        <v>32</v>
      </c>
      <c r="F8" s="69">
        <v>42.10526315789474</v>
      </c>
      <c r="G8" s="69">
        <v>42.10526315789474</v>
      </c>
      <c r="H8" s="93">
        <v>42.10526315789474</v>
      </c>
      <c r="I8" s="69">
        <v>42.10526315789474</v>
      </c>
      <c r="J8" t="s">
        <v>182</v>
      </c>
      <c r="K8" s="98">
        <f t="shared" si="0"/>
        <v>33</v>
      </c>
      <c r="L8" s="98" t="s">
        <v>190</v>
      </c>
      <c r="Q8" s="117"/>
      <c r="R8" s="117"/>
      <c r="S8" s="117"/>
      <c r="T8" s="117"/>
      <c r="U8" s="117"/>
      <c r="V8" s="117"/>
      <c r="W8" s="117"/>
      <c r="X8" s="117"/>
      <c r="Y8" s="117"/>
      <c r="Z8" s="117">
        <v>16.5</v>
      </c>
      <c r="AA8" s="117">
        <v>16.5</v>
      </c>
      <c r="AB8" s="117"/>
      <c r="AC8" s="117"/>
      <c r="AD8" s="117"/>
      <c r="AE8" s="117"/>
      <c r="AF8" s="117"/>
      <c r="AG8" s="117"/>
      <c r="AH8" s="117"/>
      <c r="AI8" s="131"/>
      <c r="AJ8" s="79">
        <v>1.3</v>
      </c>
      <c r="AK8" s="133">
        <v>12</v>
      </c>
      <c r="AM8">
        <v>42</v>
      </c>
      <c r="AN8" s="122">
        <f>IF(AJ8&lt;&gt;"",SUM(Q8:AG8)*AJ8,"")</f>
        <v>42.9</v>
      </c>
      <c r="AO8" s="123">
        <f t="shared" ca="1" si="3"/>
        <v>42.9</v>
      </c>
      <c r="AP8" s="123">
        <f ca="1">SUM(AU8:BF8)</f>
        <v>42.9</v>
      </c>
      <c r="AQ8" s="77">
        <f ca="1">IF($AN8&gt;0,OFFSET(M8,0,ROUNDUP($AK8/4,0))*$AJ8,"")</f>
        <v>0</v>
      </c>
      <c r="AR8" s="116">
        <f ca="1">IF($AN8&gt;0,OFFSET(N8,0,ROUNDUP($AK8/4,0))*$AJ8,"")</f>
        <v>0</v>
      </c>
      <c r="AS8" s="116">
        <f ca="1">IF($AN8&gt;0,OFFSET(O8,0,ROUNDUP($AK8/4,0))*$AJ8,"")</f>
        <v>0</v>
      </c>
      <c r="AT8" s="125">
        <f ca="1">IF($AN8&gt;0,OFFSET(P8,0,ROUNDUP($AK8/4,0))*$AJ8,"")</f>
        <v>0</v>
      </c>
      <c r="AU8" s="142">
        <f ca="1">IF($AN8&gt;0,OFFSET(Q8,0,ROUNDUP($AK8/4,0))*$AJ8,"")</f>
        <v>0</v>
      </c>
      <c r="AV8" s="116">
        <f ca="1">IF($AN8&gt;0,OFFSET(R8,0,ROUNDUP($AK8/4,0))*$AJ8,"")</f>
        <v>0</v>
      </c>
      <c r="AW8" s="116">
        <f ca="1">IF($AN8&gt;0,OFFSET(S8,0,ROUNDUP($AK8/4,0))*$AJ8,"")</f>
        <v>0</v>
      </c>
      <c r="AX8" s="116">
        <f ca="1">IF($AN8&gt;0,OFFSET(T8,0,ROUNDUP($AK8/4,0))*$AJ8,"")</f>
        <v>0</v>
      </c>
      <c r="AY8" s="116">
        <f ca="1">IF($AN8&gt;0,OFFSET(U8,0,ROUNDUP($AK8/4,0))*$AJ8,"")</f>
        <v>0</v>
      </c>
      <c r="AZ8" s="116">
        <f ca="1">IF($AN8&gt;0,OFFSET(V8,0,ROUNDUP($AK8/4,0))*$AJ8,"")</f>
        <v>0</v>
      </c>
      <c r="BA8" s="116">
        <f ca="1">IF($AN8&gt;0,OFFSET(W8,0,ROUNDUP($AK8/4,0))*$AJ8,"")</f>
        <v>21.45</v>
      </c>
      <c r="BB8" s="116">
        <f ca="1">IF($AN8&gt;0,OFFSET(X8,0,ROUNDUP($AK8/4,0))*$AJ8,"")</f>
        <v>21.45</v>
      </c>
      <c r="BC8" s="116">
        <f ca="1">IF($AN8&gt;0,OFFSET(Y8,0,ROUNDUP($AK8/4,0))*$AJ8,"")</f>
        <v>0</v>
      </c>
      <c r="BD8" s="116">
        <f ca="1">IF($AN8&gt;0,OFFSET(Z8,0,ROUNDUP($AK8/4,0))*$AJ8,"")</f>
        <v>0</v>
      </c>
      <c r="BE8" s="116">
        <f ca="1">IF($AN8&gt;0,OFFSET(AA8,0,ROUNDUP($AK8/4,0))*$AJ8,"")</f>
        <v>0</v>
      </c>
      <c r="BF8" s="125">
        <f ca="1">IF($AN8&gt;0,OFFSET(AB8,0,ROUNDUP($AK8/4,0))*$AJ8,"")</f>
        <v>0</v>
      </c>
    </row>
    <row r="9" spans="1:58" x14ac:dyDescent="0.3">
      <c r="A9" s="81" t="s">
        <v>30</v>
      </c>
      <c r="B9" s="59">
        <v>106</v>
      </c>
      <c r="C9" s="59">
        <v>49</v>
      </c>
      <c r="D9" s="59">
        <v>49</v>
      </c>
      <c r="E9" s="80">
        <f t="shared" si="1"/>
        <v>49</v>
      </c>
      <c r="F9" s="69">
        <v>0</v>
      </c>
      <c r="G9" s="47">
        <v>0</v>
      </c>
      <c r="H9" s="61">
        <v>0</v>
      </c>
      <c r="I9" s="70">
        <v>0</v>
      </c>
      <c r="K9" s="98">
        <f t="shared" si="0"/>
        <v>0</v>
      </c>
      <c r="L9" s="98" t="s">
        <v>186</v>
      </c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31"/>
      <c r="AJ9" s="79"/>
      <c r="AK9" s="133"/>
      <c r="AN9" s="122" t="str">
        <f t="shared" ref="AN9:AN35" si="4">IF(AJ9&lt;&gt;"",SUM(Q9:AG9)*AJ9,"")</f>
        <v/>
      </c>
      <c r="AO9" s="123" t="str">
        <f t="shared" ca="1" si="3"/>
        <v/>
      </c>
      <c r="AP9" s="123">
        <f t="shared" ref="AP9:AP31" ca="1" si="5">SUM(AU9:BF9)</f>
        <v>0</v>
      </c>
      <c r="AQ9" s="77">
        <f t="shared" ref="AQ9:AQ35" ca="1" si="6">IF($AN9&gt;0,OFFSET(M9,0,ROUNDUP($AK9/4,0))*$AJ9,"")</f>
        <v>0</v>
      </c>
      <c r="AR9" s="116">
        <f t="shared" ref="AR9:AR35" ca="1" si="7">IF($AN9&gt;0,OFFSET(N9,0,ROUNDUP($AK9/4,0))*$AJ9,"")</f>
        <v>0</v>
      </c>
      <c r="AS9" s="116">
        <f t="shared" ref="AS9:AS23" ca="1" si="8">IF($AN9&gt;0,OFFSET(O9,0,ROUNDUP($AK9/4,0))*$AJ9,"")</f>
        <v>0</v>
      </c>
      <c r="AT9" s="125">
        <f t="shared" ref="AT9:AT23" ca="1" si="9">IF($AN9&gt;0,OFFSET(P9,0,ROUNDUP($AK9/4,0))*$AJ9,"")</f>
        <v>0</v>
      </c>
      <c r="AU9" s="142">
        <f t="shared" ref="AU9:AU23" ca="1" si="10">IF($AN9&gt;0,OFFSET(Q9,0,ROUNDUP($AK9/4,0))*$AJ9,"")</f>
        <v>0</v>
      </c>
      <c r="AV9" s="116">
        <f t="shared" ref="AV9:AV23" ca="1" si="11">IF($AN9&gt;0,OFFSET(R9,0,ROUNDUP($AK9/4,0))*$AJ9,"")</f>
        <v>0</v>
      </c>
      <c r="AW9" s="116">
        <f t="shared" ref="AW9:AW23" ca="1" si="12">IF($AN9&gt;0,OFFSET(S9,0,ROUNDUP($AK9/4,0))*$AJ9,"")</f>
        <v>0</v>
      </c>
      <c r="AX9" s="116">
        <f t="shared" ref="AX9:AX23" ca="1" si="13">IF($AN9&gt;0,OFFSET(T9,0,ROUNDUP($AK9/4,0))*$AJ9,"")</f>
        <v>0</v>
      </c>
      <c r="AY9" s="116">
        <f t="shared" ref="AY9:AY23" ca="1" si="14">IF($AN9&gt;0,OFFSET(U9,0,ROUNDUP($AK9/4,0))*$AJ9,"")</f>
        <v>0</v>
      </c>
      <c r="AZ9" s="116">
        <f t="shared" ref="AZ9:AZ23" ca="1" si="15">IF($AN9&gt;0,OFFSET(V9,0,ROUNDUP($AK9/4,0))*$AJ9,"")</f>
        <v>0</v>
      </c>
      <c r="BA9" s="116">
        <f t="shared" ref="BA9:BA23" ca="1" si="16">IF($AN9&gt;0,OFFSET(W9,0,ROUNDUP($AK9/4,0))*$AJ9,"")</f>
        <v>0</v>
      </c>
      <c r="BB9" s="116">
        <f t="shared" ref="BB9:BB23" ca="1" si="17">IF($AN9&gt;0,OFFSET(X9,0,ROUNDUP($AK9/4,0))*$AJ9,"")</f>
        <v>0</v>
      </c>
      <c r="BC9" s="116">
        <f t="shared" ref="BC9:BC23" ca="1" si="18">IF($AN9&gt;0,OFFSET(Y9,0,ROUNDUP($AK9/4,0))*$AJ9,"")</f>
        <v>0</v>
      </c>
      <c r="BD9" s="116">
        <f t="shared" ref="BD9:BD23" ca="1" si="19">IF($AN9&gt;0,OFFSET(Z9,0,ROUNDUP($AK9/4,0))*$AJ9,"")</f>
        <v>0</v>
      </c>
      <c r="BE9" s="116">
        <f t="shared" ref="BE9:BE23" ca="1" si="20">IF($AN9&gt;0,OFFSET(AA9,0,ROUNDUP($AK9/4,0))*$AJ9,"")</f>
        <v>0</v>
      </c>
      <c r="BF9" s="125">
        <f t="shared" ref="BF9:BF23" ca="1" si="21">IF($AN9&gt;0,OFFSET(AB9,0,ROUNDUP($AK9/4,0))*$AJ9,"")</f>
        <v>0</v>
      </c>
    </row>
    <row r="10" spans="1:58" ht="28.8" x14ac:dyDescent="0.3">
      <c r="A10" s="82" t="s">
        <v>106</v>
      </c>
      <c r="B10" s="59">
        <v>0</v>
      </c>
      <c r="C10" s="59">
        <v>0</v>
      </c>
      <c r="D10" s="59">
        <v>0</v>
      </c>
      <c r="E10" s="80">
        <f t="shared" si="1"/>
        <v>0</v>
      </c>
      <c r="F10" s="69">
        <v>0</v>
      </c>
      <c r="G10" s="47">
        <v>0</v>
      </c>
      <c r="H10" s="61">
        <v>0</v>
      </c>
      <c r="I10" s="70">
        <v>132.37113402061854</v>
      </c>
      <c r="K10" s="98">
        <f t="shared" si="0"/>
        <v>0</v>
      </c>
      <c r="L10" s="98" t="s">
        <v>186</v>
      </c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31"/>
      <c r="AJ10" s="79"/>
      <c r="AK10" s="133"/>
      <c r="AN10" s="122" t="str">
        <f t="shared" si="4"/>
        <v/>
      </c>
      <c r="AO10" s="123" t="str">
        <f t="shared" ca="1" si="3"/>
        <v/>
      </c>
      <c r="AP10" s="123">
        <f t="shared" ca="1" si="5"/>
        <v>0</v>
      </c>
      <c r="AQ10" s="77">
        <f t="shared" ca="1" si="6"/>
        <v>0</v>
      </c>
      <c r="AR10" s="116">
        <f t="shared" ca="1" si="7"/>
        <v>0</v>
      </c>
      <c r="AS10" s="116">
        <f t="shared" ca="1" si="8"/>
        <v>0</v>
      </c>
      <c r="AT10" s="125">
        <f t="shared" ca="1" si="9"/>
        <v>0</v>
      </c>
      <c r="AU10" s="142">
        <f t="shared" ca="1" si="10"/>
        <v>0</v>
      </c>
      <c r="AV10" s="116">
        <f t="shared" ca="1" si="11"/>
        <v>0</v>
      </c>
      <c r="AW10" s="116">
        <f t="shared" ca="1" si="12"/>
        <v>0</v>
      </c>
      <c r="AX10" s="116">
        <f t="shared" ca="1" si="13"/>
        <v>0</v>
      </c>
      <c r="AY10" s="116">
        <f t="shared" ca="1" si="14"/>
        <v>0</v>
      </c>
      <c r="AZ10" s="116">
        <f t="shared" ca="1" si="15"/>
        <v>0</v>
      </c>
      <c r="BA10" s="116">
        <f t="shared" ca="1" si="16"/>
        <v>0</v>
      </c>
      <c r="BB10" s="116">
        <f t="shared" ca="1" si="17"/>
        <v>0</v>
      </c>
      <c r="BC10" s="116">
        <f t="shared" ca="1" si="18"/>
        <v>0</v>
      </c>
      <c r="BD10" s="116">
        <f t="shared" ca="1" si="19"/>
        <v>0</v>
      </c>
      <c r="BE10" s="116">
        <f t="shared" ca="1" si="20"/>
        <v>0</v>
      </c>
      <c r="BF10" s="125">
        <f t="shared" ca="1" si="21"/>
        <v>0</v>
      </c>
    </row>
    <row r="11" spans="1:58" x14ac:dyDescent="0.3">
      <c r="A11" s="79" t="s">
        <v>0</v>
      </c>
      <c r="B11" s="60">
        <v>245</v>
      </c>
      <c r="C11" s="59">
        <v>250</v>
      </c>
      <c r="D11" s="59">
        <v>226.62499999999997</v>
      </c>
      <c r="E11" s="80">
        <f t="shared" si="1"/>
        <v>238.3125</v>
      </c>
      <c r="F11" s="69">
        <v>0</v>
      </c>
      <c r="G11" s="47">
        <v>0</v>
      </c>
      <c r="H11" s="61">
        <v>0</v>
      </c>
      <c r="I11" s="70">
        <v>0</v>
      </c>
      <c r="K11" s="98">
        <f t="shared" si="0"/>
        <v>0</v>
      </c>
      <c r="L11" s="98" t="s">
        <v>186</v>
      </c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31"/>
      <c r="AJ11" s="79"/>
      <c r="AK11" s="133"/>
      <c r="AN11" s="122" t="str">
        <f t="shared" si="4"/>
        <v/>
      </c>
      <c r="AO11" s="123" t="str">
        <f t="shared" ca="1" si="3"/>
        <v/>
      </c>
      <c r="AP11" s="123">
        <f t="shared" ca="1" si="5"/>
        <v>0</v>
      </c>
      <c r="AQ11" s="77">
        <f t="shared" ca="1" si="6"/>
        <v>0</v>
      </c>
      <c r="AR11" s="116">
        <f t="shared" ca="1" si="7"/>
        <v>0</v>
      </c>
      <c r="AS11" s="116">
        <f t="shared" ca="1" si="8"/>
        <v>0</v>
      </c>
      <c r="AT11" s="125">
        <f t="shared" ca="1" si="9"/>
        <v>0</v>
      </c>
      <c r="AU11" s="142">
        <f t="shared" ca="1" si="10"/>
        <v>0</v>
      </c>
      <c r="AV11" s="116">
        <f t="shared" ca="1" si="11"/>
        <v>0</v>
      </c>
      <c r="AW11" s="116">
        <f t="shared" ca="1" si="12"/>
        <v>0</v>
      </c>
      <c r="AX11" s="116">
        <f t="shared" ca="1" si="13"/>
        <v>0</v>
      </c>
      <c r="AY11" s="116">
        <f t="shared" ca="1" si="14"/>
        <v>0</v>
      </c>
      <c r="AZ11" s="116">
        <f t="shared" ca="1" si="15"/>
        <v>0</v>
      </c>
      <c r="BA11" s="116">
        <f t="shared" ca="1" si="16"/>
        <v>0</v>
      </c>
      <c r="BB11" s="116">
        <f t="shared" ca="1" si="17"/>
        <v>0</v>
      </c>
      <c r="BC11" s="116">
        <f t="shared" ca="1" si="18"/>
        <v>0</v>
      </c>
      <c r="BD11" s="116">
        <f t="shared" ca="1" si="19"/>
        <v>0</v>
      </c>
      <c r="BE11" s="116">
        <f t="shared" ca="1" si="20"/>
        <v>0</v>
      </c>
      <c r="BF11" s="125">
        <f t="shared" ca="1" si="21"/>
        <v>0</v>
      </c>
    </row>
    <row r="12" spans="1:58" x14ac:dyDescent="0.3">
      <c r="A12" s="79" t="s">
        <v>22</v>
      </c>
      <c r="B12" s="59">
        <v>2</v>
      </c>
      <c r="C12" s="59">
        <v>10</v>
      </c>
      <c r="D12" s="59">
        <v>0</v>
      </c>
      <c r="E12" s="80">
        <f t="shared" si="1"/>
        <v>5</v>
      </c>
      <c r="F12" s="69">
        <v>0</v>
      </c>
      <c r="G12" s="47">
        <v>0</v>
      </c>
      <c r="H12" s="61">
        <v>0</v>
      </c>
      <c r="I12" s="70">
        <v>0</v>
      </c>
      <c r="K12" s="98">
        <f t="shared" si="0"/>
        <v>0</v>
      </c>
      <c r="L12" s="98" t="s">
        <v>186</v>
      </c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31"/>
      <c r="AJ12" s="79"/>
      <c r="AK12" s="133"/>
      <c r="AN12" s="122" t="str">
        <f t="shared" si="4"/>
        <v/>
      </c>
      <c r="AO12" s="123" t="str">
        <f t="shared" ca="1" si="3"/>
        <v/>
      </c>
      <c r="AP12" s="123">
        <f t="shared" ca="1" si="5"/>
        <v>0</v>
      </c>
      <c r="AQ12" s="77">
        <f t="shared" ca="1" si="6"/>
        <v>0</v>
      </c>
      <c r="AR12" s="116">
        <f t="shared" ca="1" si="7"/>
        <v>0</v>
      </c>
      <c r="AS12" s="116">
        <f t="shared" ca="1" si="8"/>
        <v>0</v>
      </c>
      <c r="AT12" s="125">
        <f t="shared" ca="1" si="9"/>
        <v>0</v>
      </c>
      <c r="AU12" s="142">
        <f t="shared" ca="1" si="10"/>
        <v>0</v>
      </c>
      <c r="AV12" s="116">
        <f t="shared" ca="1" si="11"/>
        <v>0</v>
      </c>
      <c r="AW12" s="116">
        <f t="shared" ca="1" si="12"/>
        <v>0</v>
      </c>
      <c r="AX12" s="116">
        <f t="shared" ca="1" si="13"/>
        <v>0</v>
      </c>
      <c r="AY12" s="116">
        <f t="shared" ca="1" si="14"/>
        <v>0</v>
      </c>
      <c r="AZ12" s="116">
        <f t="shared" ca="1" si="15"/>
        <v>0</v>
      </c>
      <c r="BA12" s="116">
        <f t="shared" ca="1" si="16"/>
        <v>0</v>
      </c>
      <c r="BB12" s="116">
        <f t="shared" ca="1" si="17"/>
        <v>0</v>
      </c>
      <c r="BC12" s="116">
        <f t="shared" ca="1" si="18"/>
        <v>0</v>
      </c>
      <c r="BD12" s="116">
        <f t="shared" ca="1" si="19"/>
        <v>0</v>
      </c>
      <c r="BE12" s="116">
        <f t="shared" ca="1" si="20"/>
        <v>0</v>
      </c>
      <c r="BF12" s="125">
        <f t="shared" ca="1" si="21"/>
        <v>0</v>
      </c>
    </row>
    <row r="13" spans="1:58" x14ac:dyDescent="0.3">
      <c r="A13" s="79" t="s">
        <v>166</v>
      </c>
      <c r="B13" s="59">
        <v>27</v>
      </c>
      <c r="C13" s="59">
        <v>20</v>
      </c>
      <c r="D13" s="59">
        <v>20</v>
      </c>
      <c r="E13" s="80">
        <f t="shared" si="1"/>
        <v>20</v>
      </c>
      <c r="F13" s="69">
        <v>26.315789473684212</v>
      </c>
      <c r="G13" s="47">
        <v>26.315789473684212</v>
      </c>
      <c r="H13" s="61">
        <v>26.315789473684212</v>
      </c>
      <c r="I13" s="70">
        <v>38.041237113402062</v>
      </c>
      <c r="J13" s="3" t="s">
        <v>187</v>
      </c>
      <c r="K13" s="98">
        <f t="shared" si="0"/>
        <v>20</v>
      </c>
      <c r="L13" s="98" t="s">
        <v>190</v>
      </c>
      <c r="Q13" s="117"/>
      <c r="R13" s="117"/>
      <c r="S13" s="117"/>
      <c r="T13" s="117"/>
      <c r="U13" s="117"/>
      <c r="V13" s="117">
        <f>2*5</f>
        <v>10</v>
      </c>
      <c r="W13" s="117"/>
      <c r="X13" s="117"/>
      <c r="Y13" s="117"/>
      <c r="Z13" s="117">
        <f>2*5</f>
        <v>10</v>
      </c>
      <c r="AA13" s="117"/>
      <c r="AB13" s="117"/>
      <c r="AC13" s="117"/>
      <c r="AD13" s="117"/>
      <c r="AE13" s="117"/>
      <c r="AF13" s="117"/>
      <c r="AG13" s="117"/>
      <c r="AH13" s="117"/>
      <c r="AI13" s="131"/>
      <c r="AJ13" s="79">
        <v>1.3</v>
      </c>
      <c r="AK13" s="133">
        <v>12</v>
      </c>
      <c r="AM13">
        <v>26</v>
      </c>
      <c r="AN13" s="122">
        <f t="shared" si="4"/>
        <v>26</v>
      </c>
      <c r="AO13" s="123">
        <f t="shared" ca="1" si="3"/>
        <v>26</v>
      </c>
      <c r="AP13" s="123">
        <f t="shared" ca="1" si="5"/>
        <v>26</v>
      </c>
      <c r="AQ13" s="77">
        <f t="shared" ca="1" si="6"/>
        <v>0</v>
      </c>
      <c r="AR13" s="116">
        <f t="shared" ca="1" si="7"/>
        <v>0</v>
      </c>
      <c r="AS13" s="116">
        <f t="shared" ca="1" si="8"/>
        <v>0</v>
      </c>
      <c r="AT13" s="125">
        <f t="shared" ca="1" si="9"/>
        <v>0</v>
      </c>
      <c r="AU13" s="142">
        <f t="shared" ca="1" si="10"/>
        <v>0</v>
      </c>
      <c r="AV13" s="116">
        <f t="shared" ca="1" si="11"/>
        <v>0</v>
      </c>
      <c r="AW13" s="116">
        <f t="shared" ca="1" si="12"/>
        <v>13</v>
      </c>
      <c r="AX13" s="116">
        <f t="shared" ca="1" si="13"/>
        <v>0</v>
      </c>
      <c r="AY13" s="116">
        <f t="shared" ca="1" si="14"/>
        <v>0</v>
      </c>
      <c r="AZ13" s="116">
        <f t="shared" ca="1" si="15"/>
        <v>0</v>
      </c>
      <c r="BA13" s="116">
        <f t="shared" ca="1" si="16"/>
        <v>13</v>
      </c>
      <c r="BB13" s="116">
        <f t="shared" ca="1" si="17"/>
        <v>0</v>
      </c>
      <c r="BC13" s="116">
        <f t="shared" ca="1" si="18"/>
        <v>0</v>
      </c>
      <c r="BD13" s="116">
        <f t="shared" ca="1" si="19"/>
        <v>0</v>
      </c>
      <c r="BE13" s="116">
        <f t="shared" ca="1" si="20"/>
        <v>0</v>
      </c>
      <c r="BF13" s="125">
        <f t="shared" ca="1" si="21"/>
        <v>0</v>
      </c>
    </row>
    <row r="14" spans="1:58" x14ac:dyDescent="0.3">
      <c r="A14" s="81" t="s">
        <v>12</v>
      </c>
      <c r="B14" s="59">
        <v>14</v>
      </c>
      <c r="C14" s="59">
        <v>16.5</v>
      </c>
      <c r="D14" s="59">
        <v>17</v>
      </c>
      <c r="E14" s="80">
        <f t="shared" si="1"/>
        <v>16.75</v>
      </c>
      <c r="F14" s="69">
        <v>10.855263157894738</v>
      </c>
      <c r="G14" s="47">
        <v>10.855263157894738</v>
      </c>
      <c r="H14" s="61">
        <v>10.855263157894738</v>
      </c>
      <c r="I14" s="70">
        <v>42.268041237113401</v>
      </c>
      <c r="K14" s="98">
        <f t="shared" si="0"/>
        <v>11</v>
      </c>
      <c r="L14" s="98" t="s">
        <v>190</v>
      </c>
      <c r="Q14" s="117"/>
      <c r="R14" s="117"/>
      <c r="S14" s="117"/>
      <c r="T14" s="117"/>
      <c r="U14" s="117"/>
      <c r="V14" s="117"/>
      <c r="W14" s="117"/>
      <c r="X14" s="117"/>
      <c r="Y14" s="117"/>
      <c r="Z14" s="117">
        <v>5.5</v>
      </c>
      <c r="AA14" s="117">
        <v>5.5</v>
      </c>
      <c r="AB14" s="117"/>
      <c r="AC14" s="117"/>
      <c r="AD14" s="117"/>
      <c r="AE14" s="117"/>
      <c r="AF14" s="117"/>
      <c r="AG14" s="117"/>
      <c r="AH14" s="117"/>
      <c r="AI14" s="131"/>
      <c r="AJ14" s="79">
        <v>1.4</v>
      </c>
      <c r="AK14" s="133">
        <v>8</v>
      </c>
      <c r="AM14">
        <v>11</v>
      </c>
      <c r="AN14" s="122">
        <f t="shared" si="4"/>
        <v>15.399999999999999</v>
      </c>
      <c r="AO14" s="123">
        <f t="shared" ca="1" si="3"/>
        <v>15.399999999999999</v>
      </c>
      <c r="AP14" s="123">
        <f t="shared" ca="1" si="5"/>
        <v>15.399999999999999</v>
      </c>
      <c r="AQ14" s="77">
        <f t="shared" ca="1" si="6"/>
        <v>0</v>
      </c>
      <c r="AR14" s="116">
        <f t="shared" ca="1" si="7"/>
        <v>0</v>
      </c>
      <c r="AS14" s="116">
        <f t="shared" ca="1" si="8"/>
        <v>0</v>
      </c>
      <c r="AT14" s="125">
        <f t="shared" ca="1" si="9"/>
        <v>0</v>
      </c>
      <c r="AU14" s="142">
        <f t="shared" ca="1" si="10"/>
        <v>0</v>
      </c>
      <c r="AV14" s="116">
        <f t="shared" ca="1" si="11"/>
        <v>0</v>
      </c>
      <c r="AW14" s="116">
        <f t="shared" ca="1" si="12"/>
        <v>0</v>
      </c>
      <c r="AX14" s="116">
        <f t="shared" ca="1" si="13"/>
        <v>0</v>
      </c>
      <c r="AY14" s="116">
        <f t="shared" ca="1" si="14"/>
        <v>0</v>
      </c>
      <c r="AZ14" s="116">
        <f t="shared" ca="1" si="15"/>
        <v>0</v>
      </c>
      <c r="BA14" s="116">
        <f t="shared" ca="1" si="16"/>
        <v>0</v>
      </c>
      <c r="BB14" s="116">
        <f t="shared" ca="1" si="17"/>
        <v>7.6999999999999993</v>
      </c>
      <c r="BC14" s="116">
        <f t="shared" ca="1" si="18"/>
        <v>7.6999999999999993</v>
      </c>
      <c r="BD14" s="116">
        <f t="shared" ca="1" si="19"/>
        <v>0</v>
      </c>
      <c r="BE14" s="116">
        <f t="shared" ca="1" si="20"/>
        <v>0</v>
      </c>
      <c r="BF14" s="125">
        <f t="shared" ca="1" si="21"/>
        <v>0</v>
      </c>
    </row>
    <row r="15" spans="1:58" x14ac:dyDescent="0.3">
      <c r="A15" s="150" t="s">
        <v>1</v>
      </c>
      <c r="B15" s="59">
        <v>52</v>
      </c>
      <c r="C15" s="59">
        <v>121.8</v>
      </c>
      <c r="D15" s="59">
        <v>90</v>
      </c>
      <c r="E15" s="80">
        <f t="shared" si="1"/>
        <v>105.9</v>
      </c>
      <c r="F15" s="69">
        <v>72</v>
      </c>
      <c r="G15" s="69">
        <v>72</v>
      </c>
      <c r="H15" s="93">
        <v>72</v>
      </c>
      <c r="I15" s="70">
        <v>167.5257731958763</v>
      </c>
      <c r="J15" t="s">
        <v>174</v>
      </c>
      <c r="K15" s="98">
        <f t="shared" si="0"/>
        <v>55</v>
      </c>
      <c r="L15" s="98" t="s">
        <v>190</v>
      </c>
      <c r="Q15" s="117"/>
      <c r="R15" s="117">
        <v>5</v>
      </c>
      <c r="S15" s="117">
        <f t="shared" ref="S15:AE15" si="22">R15</f>
        <v>5</v>
      </c>
      <c r="T15" s="117">
        <f t="shared" si="22"/>
        <v>5</v>
      </c>
      <c r="U15" s="117">
        <f t="shared" si="22"/>
        <v>5</v>
      </c>
      <c r="V15" s="117">
        <v>5</v>
      </c>
      <c r="W15" s="117">
        <f>5+5</f>
        <v>10</v>
      </c>
      <c r="X15" s="117"/>
      <c r="Y15" s="117">
        <v>5</v>
      </c>
      <c r="Z15" s="117">
        <f t="shared" si="22"/>
        <v>5</v>
      </c>
      <c r="AA15" s="117">
        <f t="shared" si="22"/>
        <v>5</v>
      </c>
      <c r="AB15" s="117">
        <f t="shared" si="22"/>
        <v>5</v>
      </c>
      <c r="AC15" s="117">
        <f t="shared" si="22"/>
        <v>5</v>
      </c>
      <c r="AD15" s="117">
        <f t="shared" si="22"/>
        <v>5</v>
      </c>
      <c r="AE15" s="117">
        <f t="shared" si="22"/>
        <v>5</v>
      </c>
      <c r="AF15" s="117">
        <v>5</v>
      </c>
      <c r="AG15" s="117">
        <v>5</v>
      </c>
      <c r="AH15" s="117">
        <v>5</v>
      </c>
      <c r="AI15" s="131">
        <v>5</v>
      </c>
      <c r="AJ15" s="79">
        <v>1.3</v>
      </c>
      <c r="AK15" s="133">
        <v>10</v>
      </c>
      <c r="AL15" s="164">
        <v>1</v>
      </c>
      <c r="AM15" s="164">
        <v>72</v>
      </c>
      <c r="AN15" s="122">
        <f>IF(AJ15&lt;&gt;"",SUM(Q15:AE15)*AJ15,"")</f>
        <v>91</v>
      </c>
      <c r="AO15" s="123">
        <f t="shared" ca="1" si="3"/>
        <v>84.5</v>
      </c>
      <c r="AP15" s="123">
        <f t="shared" ca="1" si="5"/>
        <v>78</v>
      </c>
      <c r="AQ15" s="77">
        <f t="shared" ca="1" si="6"/>
        <v>0</v>
      </c>
      <c r="AR15" s="116">
        <f t="shared" ca="1" si="7"/>
        <v>0</v>
      </c>
      <c r="AS15" s="159">
        <f ca="1">IF($AN15&gt;0,OFFSET(O15,0,ROUNDUP($AK15/4,0))*$AJ15,"")-1*6.5</f>
        <v>0</v>
      </c>
      <c r="AT15" s="125">
        <f t="shared" ca="1" si="9"/>
        <v>6.5</v>
      </c>
      <c r="AU15" s="142">
        <f t="shared" ca="1" si="10"/>
        <v>6.5</v>
      </c>
      <c r="AV15" s="116">
        <f t="shared" ca="1" si="11"/>
        <v>6.5</v>
      </c>
      <c r="AW15" s="116">
        <f t="shared" ca="1" si="12"/>
        <v>6.5</v>
      </c>
      <c r="AX15" s="116">
        <f t="shared" ca="1" si="13"/>
        <v>13</v>
      </c>
      <c r="AY15" s="116">
        <f t="shared" ca="1" si="14"/>
        <v>0</v>
      </c>
      <c r="AZ15" s="116">
        <f t="shared" ca="1" si="15"/>
        <v>6.5</v>
      </c>
      <c r="BA15" s="116">
        <f t="shared" ca="1" si="16"/>
        <v>6.5</v>
      </c>
      <c r="BB15" s="116">
        <f t="shared" ca="1" si="17"/>
        <v>6.5</v>
      </c>
      <c r="BC15" s="116">
        <f t="shared" ca="1" si="18"/>
        <v>6.5</v>
      </c>
      <c r="BD15" s="116">
        <f t="shared" ca="1" si="19"/>
        <v>6.5</v>
      </c>
      <c r="BE15" s="116">
        <f t="shared" ca="1" si="20"/>
        <v>6.5</v>
      </c>
      <c r="BF15" s="125">
        <f t="shared" ca="1" si="21"/>
        <v>6.5</v>
      </c>
    </row>
    <row r="16" spans="1:58" x14ac:dyDescent="0.3">
      <c r="A16" s="81" t="s">
        <v>16</v>
      </c>
      <c r="B16" s="59">
        <v>0</v>
      </c>
      <c r="C16" s="59">
        <v>7.1999999999999993</v>
      </c>
      <c r="D16" s="59">
        <v>0</v>
      </c>
      <c r="E16" s="80">
        <v>0</v>
      </c>
      <c r="F16" s="69">
        <v>9.473684210526315</v>
      </c>
      <c r="G16" s="47">
        <v>0</v>
      </c>
      <c r="H16" s="61">
        <v>0</v>
      </c>
      <c r="I16" s="70">
        <v>10.56701030927835</v>
      </c>
      <c r="K16" s="98">
        <f t="shared" si="0"/>
        <v>0</v>
      </c>
      <c r="L16" s="98" t="s">
        <v>186</v>
      </c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31"/>
      <c r="AJ16" s="79"/>
      <c r="AK16" s="133"/>
      <c r="AN16" s="122" t="str">
        <f t="shared" si="4"/>
        <v/>
      </c>
      <c r="AO16" s="123" t="str">
        <f t="shared" ca="1" si="3"/>
        <v/>
      </c>
      <c r="AP16" s="123">
        <f t="shared" ca="1" si="5"/>
        <v>0</v>
      </c>
      <c r="AQ16" s="77">
        <f t="shared" ca="1" si="6"/>
        <v>0</v>
      </c>
      <c r="AR16" s="116">
        <f t="shared" ca="1" si="7"/>
        <v>0</v>
      </c>
      <c r="AS16" s="116">
        <f t="shared" ca="1" si="8"/>
        <v>0</v>
      </c>
      <c r="AT16" s="125">
        <f t="shared" ca="1" si="9"/>
        <v>0</v>
      </c>
      <c r="AU16" s="142">
        <f t="shared" ca="1" si="10"/>
        <v>0</v>
      </c>
      <c r="AV16" s="116">
        <f t="shared" ca="1" si="11"/>
        <v>0</v>
      </c>
      <c r="AW16" s="116">
        <f t="shared" ca="1" si="12"/>
        <v>0</v>
      </c>
      <c r="AX16" s="116">
        <f t="shared" ca="1" si="13"/>
        <v>0</v>
      </c>
      <c r="AY16" s="116">
        <f t="shared" ca="1" si="14"/>
        <v>0</v>
      </c>
      <c r="AZ16" s="116">
        <f t="shared" ca="1" si="15"/>
        <v>0</v>
      </c>
      <c r="BA16" s="116">
        <f t="shared" ca="1" si="16"/>
        <v>0</v>
      </c>
      <c r="BB16" s="116">
        <f t="shared" ca="1" si="17"/>
        <v>0</v>
      </c>
      <c r="BC16" s="116">
        <f t="shared" ca="1" si="18"/>
        <v>0</v>
      </c>
      <c r="BD16" s="116">
        <f t="shared" ca="1" si="19"/>
        <v>0</v>
      </c>
      <c r="BE16" s="116">
        <f t="shared" ca="1" si="20"/>
        <v>0</v>
      </c>
      <c r="BF16" s="125">
        <f t="shared" ca="1" si="21"/>
        <v>0</v>
      </c>
    </row>
    <row r="17" spans="1:58" x14ac:dyDescent="0.3">
      <c r="A17" s="81" t="s">
        <v>21</v>
      </c>
      <c r="B17" s="59">
        <v>0</v>
      </c>
      <c r="C17" s="59">
        <v>0</v>
      </c>
      <c r="D17" s="59">
        <v>0</v>
      </c>
      <c r="E17" s="80">
        <f t="shared" si="1"/>
        <v>0</v>
      </c>
      <c r="F17" s="69">
        <v>0</v>
      </c>
      <c r="G17" s="47">
        <v>0</v>
      </c>
      <c r="H17" s="61">
        <v>0</v>
      </c>
      <c r="I17" s="70">
        <v>12.88659793814433</v>
      </c>
      <c r="K17" s="98">
        <f t="shared" si="0"/>
        <v>0</v>
      </c>
      <c r="L17" s="98" t="s">
        <v>186</v>
      </c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31"/>
      <c r="AJ17" s="79"/>
      <c r="AK17" s="133"/>
      <c r="AN17" s="122" t="str">
        <f t="shared" si="4"/>
        <v/>
      </c>
      <c r="AO17" s="123" t="str">
        <f t="shared" ca="1" si="3"/>
        <v/>
      </c>
      <c r="AP17" s="123">
        <f t="shared" ca="1" si="5"/>
        <v>0</v>
      </c>
      <c r="AQ17" s="77">
        <f t="shared" ca="1" si="6"/>
        <v>0</v>
      </c>
      <c r="AR17" s="116">
        <f t="shared" ca="1" si="7"/>
        <v>0</v>
      </c>
      <c r="AS17" s="116">
        <f t="shared" ca="1" si="8"/>
        <v>0</v>
      </c>
      <c r="AT17" s="125">
        <f t="shared" ca="1" si="9"/>
        <v>0</v>
      </c>
      <c r="AU17" s="142">
        <f t="shared" ca="1" si="10"/>
        <v>0</v>
      </c>
      <c r="AV17" s="116">
        <f t="shared" ca="1" si="11"/>
        <v>0</v>
      </c>
      <c r="AW17" s="116">
        <f t="shared" ca="1" si="12"/>
        <v>0</v>
      </c>
      <c r="AX17" s="116">
        <f t="shared" ca="1" si="13"/>
        <v>0</v>
      </c>
      <c r="AY17" s="116">
        <f t="shared" ca="1" si="14"/>
        <v>0</v>
      </c>
      <c r="AZ17" s="116">
        <f t="shared" ca="1" si="15"/>
        <v>0</v>
      </c>
      <c r="BA17" s="116">
        <f t="shared" ca="1" si="16"/>
        <v>0</v>
      </c>
      <c r="BB17" s="116">
        <f t="shared" ca="1" si="17"/>
        <v>0</v>
      </c>
      <c r="BC17" s="116">
        <f t="shared" ca="1" si="18"/>
        <v>0</v>
      </c>
      <c r="BD17" s="116">
        <f t="shared" ca="1" si="19"/>
        <v>0</v>
      </c>
      <c r="BE17" s="116">
        <f t="shared" ca="1" si="20"/>
        <v>0</v>
      </c>
      <c r="BF17" s="125">
        <f t="shared" ca="1" si="21"/>
        <v>0</v>
      </c>
    </row>
    <row r="18" spans="1:58" x14ac:dyDescent="0.3">
      <c r="A18" s="83" t="s">
        <v>3</v>
      </c>
      <c r="B18" s="59">
        <v>46</v>
      </c>
      <c r="C18" s="59">
        <v>35</v>
      </c>
      <c r="D18" s="59">
        <v>11</v>
      </c>
      <c r="E18" s="80">
        <f t="shared" si="1"/>
        <v>23</v>
      </c>
      <c r="F18" s="69">
        <v>39.14473684210526</v>
      </c>
      <c r="G18" s="47">
        <v>15</v>
      </c>
      <c r="H18" s="61">
        <v>15</v>
      </c>
      <c r="I18" s="70">
        <v>30</v>
      </c>
      <c r="J18" s="3" t="s">
        <v>175</v>
      </c>
      <c r="K18" s="98">
        <f t="shared" si="0"/>
        <v>16.5</v>
      </c>
      <c r="L18" s="98" t="s">
        <v>190</v>
      </c>
      <c r="Q18" s="117"/>
      <c r="R18" s="117"/>
      <c r="S18" s="117"/>
      <c r="T18" s="117"/>
      <c r="U18" s="117"/>
      <c r="V18" s="117"/>
      <c r="W18" s="117">
        <f>5.5</f>
        <v>5.5</v>
      </c>
      <c r="X18" s="117"/>
      <c r="Y18" s="117"/>
      <c r="Z18" s="117"/>
      <c r="AA18" s="117"/>
      <c r="AB18" s="117">
        <f>5.5*2</f>
        <v>11</v>
      </c>
      <c r="AC18" s="117"/>
      <c r="AD18" s="117"/>
      <c r="AE18" s="117"/>
      <c r="AF18" s="117"/>
      <c r="AG18" s="117"/>
      <c r="AH18" s="117"/>
      <c r="AI18" s="131"/>
      <c r="AJ18" s="79">
        <v>1.4</v>
      </c>
      <c r="AK18" s="133">
        <v>15</v>
      </c>
      <c r="AM18">
        <v>15</v>
      </c>
      <c r="AN18" s="122">
        <f t="shared" si="4"/>
        <v>23.099999999999998</v>
      </c>
      <c r="AO18" s="123">
        <f t="shared" ca="1" si="3"/>
        <v>23.099999999999998</v>
      </c>
      <c r="AP18" s="123">
        <f t="shared" ca="1" si="5"/>
        <v>23.099999999999998</v>
      </c>
      <c r="AQ18" s="77">
        <f t="shared" ca="1" si="6"/>
        <v>0</v>
      </c>
      <c r="AR18" s="116">
        <f t="shared" ca="1" si="7"/>
        <v>0</v>
      </c>
      <c r="AS18" s="116">
        <f t="shared" ca="1" si="8"/>
        <v>0</v>
      </c>
      <c r="AT18" s="125">
        <f t="shared" ca="1" si="9"/>
        <v>0</v>
      </c>
      <c r="AU18" s="142">
        <f t="shared" ca="1" si="10"/>
        <v>0</v>
      </c>
      <c r="AV18" s="116">
        <f t="shared" ca="1" si="11"/>
        <v>0</v>
      </c>
      <c r="AW18" s="116">
        <f t="shared" ca="1" si="12"/>
        <v>7.6999999999999993</v>
      </c>
      <c r="AX18" s="116">
        <f t="shared" ca="1" si="13"/>
        <v>0</v>
      </c>
      <c r="AY18" s="116">
        <f t="shared" ca="1" si="14"/>
        <v>0</v>
      </c>
      <c r="AZ18" s="116">
        <f t="shared" ca="1" si="15"/>
        <v>0</v>
      </c>
      <c r="BA18" s="116">
        <f t="shared" ca="1" si="16"/>
        <v>0</v>
      </c>
      <c r="BB18" s="116">
        <f t="shared" ca="1" si="17"/>
        <v>15.399999999999999</v>
      </c>
      <c r="BC18" s="116">
        <f t="shared" ca="1" si="18"/>
        <v>0</v>
      </c>
      <c r="BD18" s="116">
        <f t="shared" ca="1" si="19"/>
        <v>0</v>
      </c>
      <c r="BE18" s="116">
        <f t="shared" ca="1" si="20"/>
        <v>0</v>
      </c>
      <c r="BF18" s="125">
        <f t="shared" ca="1" si="21"/>
        <v>0</v>
      </c>
    </row>
    <row r="19" spans="1:58" x14ac:dyDescent="0.3">
      <c r="A19" s="151" t="s">
        <v>32</v>
      </c>
      <c r="B19" s="59">
        <v>12</v>
      </c>
      <c r="C19" s="59">
        <v>50</v>
      </c>
      <c r="D19" s="59">
        <v>20</v>
      </c>
      <c r="E19" s="80">
        <f t="shared" si="1"/>
        <v>35</v>
      </c>
      <c r="F19" s="69">
        <v>17.740981667652274</v>
      </c>
      <c r="G19" s="47">
        <v>17.740981667652274</v>
      </c>
      <c r="H19" s="63">
        <v>18</v>
      </c>
      <c r="I19" s="70">
        <v>52.125564693617513</v>
      </c>
      <c r="K19" s="98">
        <f t="shared" si="0"/>
        <v>36</v>
      </c>
      <c r="L19" s="98" t="s">
        <v>190</v>
      </c>
      <c r="Q19" s="117"/>
      <c r="R19" s="117"/>
      <c r="S19" s="117"/>
      <c r="T19" s="117"/>
      <c r="U19" s="117"/>
      <c r="V19" s="117"/>
      <c r="W19" s="117"/>
      <c r="X19" s="117"/>
      <c r="Y19" s="117"/>
      <c r="Z19" s="117">
        <v>12</v>
      </c>
      <c r="AA19" s="117">
        <v>12</v>
      </c>
      <c r="AB19" s="117">
        <v>12</v>
      </c>
      <c r="AC19" s="117">
        <v>12</v>
      </c>
      <c r="AD19" s="117">
        <v>12</v>
      </c>
      <c r="AE19" s="117">
        <v>12</v>
      </c>
      <c r="AF19" s="117">
        <v>12</v>
      </c>
      <c r="AG19" s="117">
        <v>12</v>
      </c>
      <c r="AH19" s="117">
        <v>12</v>
      </c>
      <c r="AI19" s="131">
        <v>12</v>
      </c>
      <c r="AJ19" s="134">
        <v>1.1100000000000001</v>
      </c>
      <c r="AK19" s="133">
        <v>6</v>
      </c>
      <c r="AL19" s="164">
        <v>1</v>
      </c>
      <c r="AM19" s="164">
        <v>18</v>
      </c>
      <c r="AN19" s="122">
        <f>IF(AJ19&lt;&gt;"",SUM(Q19:AD19)*AJ19,"")</f>
        <v>66.600000000000009</v>
      </c>
      <c r="AO19" s="123">
        <f t="shared" ca="1" si="3"/>
        <v>66.599999999999994</v>
      </c>
      <c r="AP19" s="123">
        <f t="shared" ca="1" si="5"/>
        <v>66.599999999999994</v>
      </c>
      <c r="AQ19" s="77">
        <f t="shared" ca="1" si="6"/>
        <v>0</v>
      </c>
      <c r="AR19" s="116">
        <f t="shared" ca="1" si="7"/>
        <v>0</v>
      </c>
      <c r="AS19" s="116">
        <f t="shared" ca="1" si="8"/>
        <v>0</v>
      </c>
      <c r="AT19" s="125">
        <f t="shared" ca="1" si="9"/>
        <v>0</v>
      </c>
      <c r="AU19" s="142">
        <f t="shared" ca="1" si="10"/>
        <v>0</v>
      </c>
      <c r="AV19" s="116">
        <f t="shared" ca="1" si="11"/>
        <v>0</v>
      </c>
      <c r="AW19" s="116">
        <f t="shared" ca="1" si="12"/>
        <v>0</v>
      </c>
      <c r="AX19" s="116">
        <f t="shared" ca="1" si="13"/>
        <v>0</v>
      </c>
      <c r="AY19" s="116">
        <f t="shared" ca="1" si="14"/>
        <v>0</v>
      </c>
      <c r="AZ19" s="116">
        <f t="shared" ca="1" si="15"/>
        <v>0</v>
      </c>
      <c r="BA19" s="116">
        <f t="shared" ca="1" si="16"/>
        <v>0</v>
      </c>
      <c r="BB19" s="116">
        <f t="shared" ca="1" si="17"/>
        <v>13.32</v>
      </c>
      <c r="BC19" s="116">
        <f t="shared" ca="1" si="18"/>
        <v>13.32</v>
      </c>
      <c r="BD19" s="116">
        <f t="shared" ca="1" si="19"/>
        <v>13.32</v>
      </c>
      <c r="BE19" s="116">
        <f t="shared" ca="1" si="20"/>
        <v>13.32</v>
      </c>
      <c r="BF19" s="125">
        <f t="shared" ca="1" si="21"/>
        <v>13.32</v>
      </c>
    </row>
    <row r="20" spans="1:58" x14ac:dyDescent="0.3">
      <c r="A20" s="151" t="s">
        <v>35</v>
      </c>
      <c r="B20" s="59">
        <v>6</v>
      </c>
      <c r="C20" s="59">
        <v>24.8</v>
      </c>
      <c r="D20" s="59">
        <v>13.8</v>
      </c>
      <c r="E20" s="80">
        <f t="shared" si="1"/>
        <v>19.3</v>
      </c>
      <c r="F20" s="69">
        <v>29.3317563571851</v>
      </c>
      <c r="G20" s="47">
        <v>29.3317563571851</v>
      </c>
      <c r="H20" s="61">
        <v>29</v>
      </c>
      <c r="I20" s="70">
        <v>28.958647052009731</v>
      </c>
      <c r="K20" s="98">
        <f t="shared" si="0"/>
        <v>18</v>
      </c>
      <c r="L20" s="98" t="s">
        <v>190</v>
      </c>
      <c r="Q20" s="117"/>
      <c r="R20" s="117"/>
      <c r="S20" s="117">
        <v>6</v>
      </c>
      <c r="T20" s="117"/>
      <c r="U20" s="117"/>
      <c r="V20" s="117"/>
      <c r="W20" s="117">
        <v>6</v>
      </c>
      <c r="X20" s="117"/>
      <c r="Y20" s="117"/>
      <c r="Z20" s="117"/>
      <c r="AA20" s="117">
        <v>6</v>
      </c>
      <c r="AB20" s="117"/>
      <c r="AC20" s="117"/>
      <c r="AD20" s="117"/>
      <c r="AE20" s="117">
        <v>6</v>
      </c>
      <c r="AF20" s="117"/>
      <c r="AG20" s="117"/>
      <c r="AH20" s="117"/>
      <c r="AI20" s="131">
        <v>6</v>
      </c>
      <c r="AJ20" s="134">
        <v>1.1100000000000001</v>
      </c>
      <c r="AK20" s="133">
        <v>6</v>
      </c>
      <c r="AL20" s="164">
        <v>1</v>
      </c>
      <c r="AM20" s="164">
        <v>29</v>
      </c>
      <c r="AN20" s="122">
        <f>IF(AJ20&lt;&gt;"",SUM(Q20:AD20)*AJ20,"")</f>
        <v>19.98</v>
      </c>
      <c r="AO20" s="123">
        <f t="shared" ca="1" si="3"/>
        <v>19.98</v>
      </c>
      <c r="AP20" s="123">
        <f t="shared" ca="1" si="5"/>
        <v>19.98</v>
      </c>
      <c r="AQ20" s="77">
        <f t="shared" ca="1" si="6"/>
        <v>0</v>
      </c>
      <c r="AR20" s="116">
        <f t="shared" ca="1" si="7"/>
        <v>0</v>
      </c>
      <c r="AS20" s="116">
        <f t="shared" ca="1" si="8"/>
        <v>0</v>
      </c>
      <c r="AT20" s="125">
        <f t="shared" ca="1" si="9"/>
        <v>0</v>
      </c>
      <c r="AU20" s="142">
        <f t="shared" ca="1" si="10"/>
        <v>6.66</v>
      </c>
      <c r="AV20" s="116">
        <f t="shared" ca="1" si="11"/>
        <v>0</v>
      </c>
      <c r="AW20" s="116">
        <f t="shared" ca="1" si="12"/>
        <v>0</v>
      </c>
      <c r="AX20" s="116">
        <f t="shared" ca="1" si="13"/>
        <v>0</v>
      </c>
      <c r="AY20" s="116">
        <f t="shared" ca="1" si="14"/>
        <v>6.66</v>
      </c>
      <c r="AZ20" s="116">
        <f t="shared" ca="1" si="15"/>
        <v>0</v>
      </c>
      <c r="BA20" s="116">
        <f t="shared" ca="1" si="16"/>
        <v>0</v>
      </c>
      <c r="BB20" s="116">
        <f t="shared" ca="1" si="17"/>
        <v>0</v>
      </c>
      <c r="BC20" s="116">
        <f t="shared" ca="1" si="18"/>
        <v>6.66</v>
      </c>
      <c r="BD20" s="116">
        <f t="shared" ca="1" si="19"/>
        <v>0</v>
      </c>
      <c r="BE20" s="116">
        <f t="shared" ca="1" si="20"/>
        <v>0</v>
      </c>
      <c r="BF20" s="125">
        <f t="shared" ca="1" si="21"/>
        <v>0</v>
      </c>
    </row>
    <row r="21" spans="1:58" x14ac:dyDescent="0.3">
      <c r="A21" s="150" t="s">
        <v>33</v>
      </c>
      <c r="B21" s="59">
        <v>6</v>
      </c>
      <c r="C21" s="94">
        <v>89.600000000000009</v>
      </c>
      <c r="D21" s="59">
        <v>10.856000000000002</v>
      </c>
      <c r="E21" s="80">
        <f t="shared" si="1"/>
        <v>50.228000000000009</v>
      </c>
      <c r="F21" s="69">
        <v>95.375517445298655</v>
      </c>
      <c r="G21" s="47">
        <v>14</v>
      </c>
      <c r="H21" s="102">
        <f>65+15</f>
        <v>80</v>
      </c>
      <c r="I21" s="70">
        <v>93.826016448511524</v>
      </c>
      <c r="J21" s="3" t="s">
        <v>176</v>
      </c>
      <c r="K21" s="98">
        <f t="shared" si="0"/>
        <v>66</v>
      </c>
      <c r="L21" s="98" t="s">
        <v>190</v>
      </c>
      <c r="Q21" s="117">
        <v>6</v>
      </c>
      <c r="R21" s="117">
        <v>6</v>
      </c>
      <c r="S21" s="117">
        <v>6</v>
      </c>
      <c r="T21" s="117">
        <v>6</v>
      </c>
      <c r="U21" s="117">
        <v>6</v>
      </c>
      <c r="V21" s="117">
        <v>6</v>
      </c>
      <c r="W21" s="117"/>
      <c r="X21" s="117">
        <v>6</v>
      </c>
      <c r="Y21" s="117">
        <v>6</v>
      </c>
      <c r="Z21" s="117">
        <v>6</v>
      </c>
      <c r="AA21" s="117">
        <v>6</v>
      </c>
      <c r="AB21" s="117">
        <v>6</v>
      </c>
      <c r="AC21" s="117">
        <v>6</v>
      </c>
      <c r="AD21" s="117">
        <v>6</v>
      </c>
      <c r="AE21" s="117">
        <v>6</v>
      </c>
      <c r="AF21" s="117">
        <v>6</v>
      </c>
      <c r="AG21" s="117">
        <v>6</v>
      </c>
      <c r="AH21" s="117">
        <v>6</v>
      </c>
      <c r="AI21" s="131">
        <v>6</v>
      </c>
      <c r="AJ21" s="134">
        <v>1.1100000000000001</v>
      </c>
      <c r="AK21" s="133">
        <v>6</v>
      </c>
      <c r="AM21" s="164">
        <v>65</v>
      </c>
      <c r="AN21" s="122">
        <f>IF(AJ21&lt;&gt;"",SUM(Q21:AD21)*AJ21,"")</f>
        <v>86.580000000000013</v>
      </c>
      <c r="AO21" s="123">
        <f t="shared" ca="1" si="3"/>
        <v>86.57999999999997</v>
      </c>
      <c r="AP21" s="123">
        <f t="shared" ca="1" si="5"/>
        <v>73.259999999999977</v>
      </c>
      <c r="AQ21" s="77">
        <f t="shared" ca="1" si="6"/>
        <v>0</v>
      </c>
      <c r="AR21" s="116">
        <f t="shared" ca="1" si="7"/>
        <v>0</v>
      </c>
      <c r="AS21" s="152">
        <f t="shared" ca="1" si="8"/>
        <v>6.66</v>
      </c>
      <c r="AT21" s="125">
        <f t="shared" ca="1" si="9"/>
        <v>6.66</v>
      </c>
      <c r="AU21" s="142">
        <f t="shared" ca="1" si="10"/>
        <v>6.66</v>
      </c>
      <c r="AV21" s="116">
        <f t="shared" ca="1" si="11"/>
        <v>6.66</v>
      </c>
      <c r="AW21" s="116">
        <f t="shared" ca="1" si="12"/>
        <v>6.66</v>
      </c>
      <c r="AX21" s="116">
        <f t="shared" ca="1" si="13"/>
        <v>6.66</v>
      </c>
      <c r="AY21" s="116">
        <f t="shared" ca="1" si="14"/>
        <v>0</v>
      </c>
      <c r="AZ21" s="116">
        <f t="shared" ca="1" si="15"/>
        <v>6.66</v>
      </c>
      <c r="BA21" s="116">
        <f t="shared" ca="1" si="16"/>
        <v>6.66</v>
      </c>
      <c r="BB21" s="116">
        <f t="shared" ca="1" si="17"/>
        <v>6.66</v>
      </c>
      <c r="BC21" s="116">
        <f t="shared" ca="1" si="18"/>
        <v>6.66</v>
      </c>
      <c r="BD21" s="116">
        <f t="shared" ca="1" si="19"/>
        <v>6.66</v>
      </c>
      <c r="BE21" s="116">
        <f t="shared" ca="1" si="20"/>
        <v>6.66</v>
      </c>
      <c r="BF21" s="125">
        <f t="shared" ca="1" si="21"/>
        <v>6.66</v>
      </c>
    </row>
    <row r="22" spans="1:58" x14ac:dyDescent="0.3">
      <c r="A22" s="151" t="s">
        <v>34</v>
      </c>
      <c r="B22" s="59">
        <v>13</v>
      </c>
      <c r="C22" s="59">
        <v>13</v>
      </c>
      <c r="D22" s="59">
        <v>13</v>
      </c>
      <c r="E22" s="80">
        <f t="shared" si="1"/>
        <v>13</v>
      </c>
      <c r="F22" s="69">
        <f>15-15</f>
        <v>0</v>
      </c>
      <c r="G22" s="69">
        <f>15-15</f>
        <v>0</v>
      </c>
      <c r="H22" s="102">
        <f>15-15</f>
        <v>0</v>
      </c>
      <c r="I22" s="70">
        <v>0</v>
      </c>
      <c r="K22" s="98">
        <f t="shared" si="0"/>
        <v>0</v>
      </c>
      <c r="L22" s="98" t="s">
        <v>186</v>
      </c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31"/>
      <c r="AJ22" s="79"/>
      <c r="AK22" s="133"/>
      <c r="AM22" s="173">
        <v>15</v>
      </c>
      <c r="AN22" s="122" t="str">
        <f t="shared" si="4"/>
        <v/>
      </c>
      <c r="AO22" s="123" t="str">
        <f t="shared" ca="1" si="3"/>
        <v/>
      </c>
      <c r="AP22" s="123">
        <f t="shared" ca="1" si="5"/>
        <v>0</v>
      </c>
      <c r="AQ22" s="77">
        <f t="shared" ca="1" si="6"/>
        <v>0</v>
      </c>
      <c r="AR22" s="116">
        <f t="shared" ca="1" si="7"/>
        <v>0</v>
      </c>
      <c r="AS22" s="116">
        <f t="shared" ca="1" si="8"/>
        <v>0</v>
      </c>
      <c r="AT22" s="125">
        <f t="shared" ca="1" si="9"/>
        <v>0</v>
      </c>
      <c r="AU22" s="142">
        <f t="shared" ca="1" si="10"/>
        <v>0</v>
      </c>
      <c r="AV22" s="116">
        <f t="shared" ca="1" si="11"/>
        <v>0</v>
      </c>
      <c r="AW22" s="116">
        <f t="shared" ca="1" si="12"/>
        <v>0</v>
      </c>
      <c r="AX22" s="116">
        <f t="shared" ca="1" si="13"/>
        <v>0</v>
      </c>
      <c r="AY22" s="116">
        <f t="shared" ca="1" si="14"/>
        <v>0</v>
      </c>
      <c r="AZ22" s="116">
        <f t="shared" ca="1" si="15"/>
        <v>0</v>
      </c>
      <c r="BA22" s="116">
        <f t="shared" ca="1" si="16"/>
        <v>0</v>
      </c>
      <c r="BB22" s="116">
        <f t="shared" ca="1" si="17"/>
        <v>0</v>
      </c>
      <c r="BC22" s="116">
        <f t="shared" ca="1" si="18"/>
        <v>0</v>
      </c>
      <c r="BD22" s="116">
        <f t="shared" ca="1" si="19"/>
        <v>0</v>
      </c>
      <c r="BE22" s="116">
        <f t="shared" ca="1" si="20"/>
        <v>0</v>
      </c>
      <c r="BF22" s="125">
        <f t="shared" ca="1" si="21"/>
        <v>0</v>
      </c>
    </row>
    <row r="23" spans="1:58" x14ac:dyDescent="0.3">
      <c r="A23" s="151" t="s">
        <v>107</v>
      </c>
      <c r="B23" s="59">
        <v>0</v>
      </c>
      <c r="C23" s="59">
        <v>15</v>
      </c>
      <c r="D23" s="59">
        <v>15</v>
      </c>
      <c r="E23" s="80">
        <f t="shared" si="1"/>
        <v>15</v>
      </c>
      <c r="F23" s="95">
        <v>21</v>
      </c>
      <c r="G23" s="96">
        <v>21</v>
      </c>
      <c r="H23" s="61">
        <v>21</v>
      </c>
      <c r="I23" s="70">
        <v>64.432989690721655</v>
      </c>
      <c r="J23" s="3" t="s">
        <v>177</v>
      </c>
      <c r="K23" s="98">
        <f t="shared" si="0"/>
        <v>15</v>
      </c>
      <c r="L23" s="98" t="s">
        <v>190</v>
      </c>
      <c r="Q23" s="117"/>
      <c r="R23" s="117"/>
      <c r="S23" s="117"/>
      <c r="T23" s="117"/>
      <c r="U23" s="117"/>
      <c r="V23" s="117"/>
      <c r="W23" s="117"/>
      <c r="X23" s="117"/>
      <c r="Y23" s="117"/>
      <c r="Z23" s="117">
        <v>5</v>
      </c>
      <c r="AA23" s="117">
        <v>5</v>
      </c>
      <c r="AB23" s="117">
        <v>5</v>
      </c>
      <c r="AC23" s="117"/>
      <c r="AD23" s="117">
        <v>5</v>
      </c>
      <c r="AE23" s="117">
        <v>5</v>
      </c>
      <c r="AF23" s="117">
        <v>5</v>
      </c>
      <c r="AG23" s="117">
        <f>AF23</f>
        <v>5</v>
      </c>
      <c r="AH23" s="117">
        <f>AG23</f>
        <v>5</v>
      </c>
      <c r="AI23" s="131">
        <v>5</v>
      </c>
      <c r="AJ23" s="134">
        <v>1.3</v>
      </c>
      <c r="AK23" s="133">
        <v>10</v>
      </c>
      <c r="AM23" s="164">
        <v>21</v>
      </c>
      <c r="AN23" s="122">
        <f>IF(AJ23&lt;&gt;"",SUM(Q23:AE23)*AJ23,"")</f>
        <v>32.5</v>
      </c>
      <c r="AO23" s="123">
        <f t="shared" ca="1" si="3"/>
        <v>32.5</v>
      </c>
      <c r="AP23" s="123">
        <f t="shared" ca="1" si="5"/>
        <v>32.5</v>
      </c>
      <c r="AQ23" s="77">
        <f t="shared" ca="1" si="6"/>
        <v>0</v>
      </c>
      <c r="AR23" s="116">
        <f t="shared" ca="1" si="7"/>
        <v>0</v>
      </c>
      <c r="AS23" s="116">
        <f t="shared" ca="1" si="8"/>
        <v>0</v>
      </c>
      <c r="AT23" s="125">
        <f t="shared" ca="1" si="9"/>
        <v>0</v>
      </c>
      <c r="AU23" s="142">
        <f t="shared" ca="1" si="10"/>
        <v>0</v>
      </c>
      <c r="AV23" s="116">
        <f t="shared" ca="1" si="11"/>
        <v>0</v>
      </c>
      <c r="AW23" s="116">
        <f t="shared" ca="1" si="12"/>
        <v>0</v>
      </c>
      <c r="AX23" s="116">
        <f t="shared" ca="1" si="13"/>
        <v>0</v>
      </c>
      <c r="AY23" s="116">
        <f t="shared" ca="1" si="14"/>
        <v>0</v>
      </c>
      <c r="AZ23" s="116">
        <f t="shared" ca="1" si="15"/>
        <v>0</v>
      </c>
      <c r="BA23" s="116">
        <f t="shared" ca="1" si="16"/>
        <v>6.5</v>
      </c>
      <c r="BB23" s="116">
        <f t="shared" ca="1" si="17"/>
        <v>6.5</v>
      </c>
      <c r="BC23" s="116">
        <f t="shared" ca="1" si="18"/>
        <v>6.5</v>
      </c>
      <c r="BD23" s="116">
        <f t="shared" ca="1" si="19"/>
        <v>0</v>
      </c>
      <c r="BE23" s="116">
        <f t="shared" ca="1" si="20"/>
        <v>6.5</v>
      </c>
      <c r="BF23" s="125">
        <f t="shared" ca="1" si="21"/>
        <v>6.5</v>
      </c>
    </row>
    <row r="24" spans="1:58" x14ac:dyDescent="0.3">
      <c r="A24" s="151" t="s">
        <v>13</v>
      </c>
      <c r="B24" s="59">
        <v>56</v>
      </c>
      <c r="C24" s="59">
        <v>150</v>
      </c>
      <c r="D24" s="59">
        <v>100</v>
      </c>
      <c r="E24" s="80">
        <f t="shared" si="1"/>
        <v>125</v>
      </c>
      <c r="F24" s="69">
        <v>157.89473684210526</v>
      </c>
      <c r="G24" s="47">
        <v>105</v>
      </c>
      <c r="H24" s="61">
        <v>131</v>
      </c>
      <c r="I24" s="70">
        <v>154.63917525773195</v>
      </c>
      <c r="J24" s="3" t="s">
        <v>178</v>
      </c>
      <c r="K24" s="98">
        <f t="shared" si="0"/>
        <v>123</v>
      </c>
      <c r="L24" s="98" t="s">
        <v>190</v>
      </c>
      <c r="Q24" s="117"/>
      <c r="R24" s="117">
        <f>2*7.25</f>
        <v>14.5</v>
      </c>
      <c r="S24" s="117">
        <v>7.25</v>
      </c>
      <c r="T24" s="117">
        <f>2*7.25</f>
        <v>14.5</v>
      </c>
      <c r="U24" s="117">
        <v>7.25</v>
      </c>
      <c r="V24" s="117">
        <f>2*7.25</f>
        <v>14.5</v>
      </c>
      <c r="W24" s="117">
        <v>7.25</v>
      </c>
      <c r="X24" s="117">
        <f>2*7.25</f>
        <v>14.5</v>
      </c>
      <c r="Y24" s="117">
        <v>7.25</v>
      </c>
      <c r="Z24" s="117">
        <f>2*7.25</f>
        <v>14.5</v>
      </c>
      <c r="AA24" s="117">
        <v>7.25</v>
      </c>
      <c r="AB24" s="117">
        <v>14.25</v>
      </c>
      <c r="AC24" s="117">
        <v>7.25</v>
      </c>
      <c r="AD24" s="117">
        <v>14.25</v>
      </c>
      <c r="AE24" s="117">
        <v>7.25</v>
      </c>
      <c r="AF24" s="117">
        <v>14.25</v>
      </c>
      <c r="AG24" s="117">
        <v>7.25</v>
      </c>
      <c r="AH24" s="117">
        <v>14.25</v>
      </c>
      <c r="AI24" s="131">
        <v>7.25</v>
      </c>
      <c r="AJ24" s="134">
        <v>1</v>
      </c>
      <c r="AK24" s="135">
        <v>2</v>
      </c>
      <c r="AL24" s="106">
        <v>1</v>
      </c>
      <c r="AM24" s="106">
        <v>131</v>
      </c>
      <c r="AN24" s="122">
        <f>IF(AJ24&lt;&gt;"",SUM(Q24:AC24)*AJ24,"")</f>
        <v>130.25</v>
      </c>
      <c r="AO24" s="123">
        <f t="shared" ca="1" si="3"/>
        <v>130.25</v>
      </c>
      <c r="AP24" s="123">
        <f t="shared" ca="1" si="5"/>
        <v>130.25</v>
      </c>
      <c r="AQ24" s="77">
        <f t="shared" ca="1" si="6"/>
        <v>0</v>
      </c>
      <c r="AR24" s="116">
        <f t="shared" ca="1" si="7"/>
        <v>0</v>
      </c>
      <c r="AS24" s="116">
        <f t="shared" ref="AS24:AS35" ca="1" si="23">IF($AN24&gt;0,OFFSET(O24,0,ROUNDUP($AK24/4,0))*$AJ24,"")</f>
        <v>0</v>
      </c>
      <c r="AT24" s="125">
        <f ca="1">IF($AN24&gt;0,OFFSET(P24,0,ROUNDUP($AK24/4,0))*$AJ24,"")</f>
        <v>0</v>
      </c>
      <c r="AU24" s="142">
        <f t="shared" ref="AU24:AU35" ca="1" si="24">IF($AN24&gt;0,OFFSET(Q24,0,ROUNDUP($AK24/4,0))*$AJ24,"")</f>
        <v>14.5</v>
      </c>
      <c r="AV24" s="116">
        <f t="shared" ref="AV24:AV35" ca="1" si="25">IF($AN24&gt;0,OFFSET(R24,0,ROUNDUP($AK24/4,0))*$AJ24,"")</f>
        <v>7.25</v>
      </c>
      <c r="AW24" s="116">
        <f t="shared" ref="AW24:AW35" ca="1" si="26">IF($AN24&gt;0,OFFSET(S24,0,ROUNDUP($AK24/4,0))*$AJ24,"")</f>
        <v>14.5</v>
      </c>
      <c r="AX24" s="116">
        <f t="shared" ref="AX24:AX35" ca="1" si="27">IF($AN24&gt;0,OFFSET(T24,0,ROUNDUP($AK24/4,0))*$AJ24,"")</f>
        <v>7.25</v>
      </c>
      <c r="AY24" s="116">
        <f ca="1">IF($AN24&gt;0,OFFSET(U24,0,ROUNDUP($AK24/4,0))*$AJ24,"")</f>
        <v>14.5</v>
      </c>
      <c r="AZ24" s="116">
        <f t="shared" ref="AZ24:AZ35" ca="1" si="28">IF($AN24&gt;0,OFFSET(V24,0,ROUNDUP($AK24/4,0))*$AJ24,"")</f>
        <v>7.25</v>
      </c>
      <c r="BA24" s="116">
        <f t="shared" ref="BA24:BA35" ca="1" si="29">IF($AN24&gt;0,OFFSET(W24,0,ROUNDUP($AK24/4,0))*$AJ24,"")</f>
        <v>14.5</v>
      </c>
      <c r="BB24" s="116">
        <f t="shared" ref="BB24:BB35" ca="1" si="30">IF($AN24&gt;0,OFFSET(X24,0,ROUNDUP($AK24/4,0))*$AJ24,"")</f>
        <v>7.25</v>
      </c>
      <c r="BC24" s="116">
        <f t="shared" ref="BC24:BC35" ca="1" si="31">IF($AN24&gt;0,OFFSET(Y24,0,ROUNDUP($AK24/4,0))*$AJ24,"")</f>
        <v>14.5</v>
      </c>
      <c r="BD24" s="116">
        <f t="shared" ref="BD24:BD35" ca="1" si="32">IF($AN24&gt;0,OFFSET(Z24,0,ROUNDUP($AK24/4,0))*$AJ24,"")</f>
        <v>7.25</v>
      </c>
      <c r="BE24" s="116">
        <f t="shared" ref="BE24:BE35" ca="1" si="33">IF($AN24&gt;0,OFFSET(AA24,0,ROUNDUP($AK24/4,0))*$AJ24,"")</f>
        <v>14.25</v>
      </c>
      <c r="BF24" s="125">
        <f t="shared" ref="BF24:BF35" ca="1" si="34">IF($AN24&gt;0,OFFSET(AB24,0,ROUNDUP($AK24/4,0))*$AJ24,"")</f>
        <v>7.25</v>
      </c>
    </row>
    <row r="25" spans="1:58" x14ac:dyDescent="0.3">
      <c r="A25" s="81" t="s">
        <v>17</v>
      </c>
      <c r="B25" s="59">
        <v>20</v>
      </c>
      <c r="C25" s="59">
        <v>40</v>
      </c>
      <c r="D25" s="59">
        <v>40</v>
      </c>
      <c r="E25" s="80">
        <f t="shared" si="1"/>
        <v>40</v>
      </c>
      <c r="F25" s="69">
        <v>52.631578947368425</v>
      </c>
      <c r="G25" s="47">
        <v>52.631578947368425</v>
      </c>
      <c r="H25" s="61">
        <v>53</v>
      </c>
      <c r="I25" s="70">
        <v>64.432989690721655</v>
      </c>
      <c r="K25" s="98">
        <f t="shared" si="0"/>
        <v>40</v>
      </c>
      <c r="L25" s="98" t="s">
        <v>190</v>
      </c>
      <c r="Q25" s="117">
        <v>5</v>
      </c>
      <c r="R25" s="117">
        <v>5</v>
      </c>
      <c r="S25" s="117">
        <v>5</v>
      </c>
      <c r="T25" s="117">
        <v>5</v>
      </c>
      <c r="U25" s="117"/>
      <c r="V25" s="117"/>
      <c r="W25" s="117">
        <v>5</v>
      </c>
      <c r="X25" s="117"/>
      <c r="Y25" s="117">
        <v>5</v>
      </c>
      <c r="Z25" s="117">
        <v>5</v>
      </c>
      <c r="AA25" s="117">
        <v>5</v>
      </c>
      <c r="AB25" s="117"/>
      <c r="AC25" s="117">
        <f>5</f>
        <v>5</v>
      </c>
      <c r="AD25" s="117">
        <f>AC25</f>
        <v>5</v>
      </c>
      <c r="AE25" s="117">
        <f>AD25</f>
        <v>5</v>
      </c>
      <c r="AF25" s="117">
        <v>5</v>
      </c>
      <c r="AG25" s="117">
        <f>AF25</f>
        <v>5</v>
      </c>
      <c r="AH25" s="117">
        <v>5</v>
      </c>
      <c r="AI25" s="131">
        <v>5</v>
      </c>
      <c r="AJ25" s="134">
        <v>1.3</v>
      </c>
      <c r="AK25" s="135">
        <v>15</v>
      </c>
      <c r="AL25" s="106">
        <v>1</v>
      </c>
      <c r="AM25" s="106">
        <v>53</v>
      </c>
      <c r="AN25" s="122">
        <f>IF(AJ25&lt;&gt;"",SUM(Q25:AF25)*AJ25,"")</f>
        <v>78</v>
      </c>
      <c r="AO25" s="123">
        <f ca="1">IF(SUM(AQ25:BF25)&gt;0,SUM(AQ25:BF25),"")</f>
        <v>52</v>
      </c>
      <c r="AP25" s="123">
        <f t="shared" ca="1" si="5"/>
        <v>45.5</v>
      </c>
      <c r="AQ25" s="158">
        <f ca="1">IF($AN25&gt;0,OFFSET(M25,0,ROUNDUP($AK25/4,0))*$AJ25,"")-1*6.5</f>
        <v>0</v>
      </c>
      <c r="AR25" s="159">
        <f ca="1">IF($AN25&gt;0,OFFSET(N25,0,ROUNDUP($AK25/4,0))*$AJ25,"")-1*6.5</f>
        <v>0</v>
      </c>
      <c r="AS25" s="152">
        <f ca="1">IF($AN25&gt;0,OFFSET(O25,0,ROUNDUP($AK25/4,0))*$AJ25,"")-0*6.5</f>
        <v>6.5</v>
      </c>
      <c r="AT25" s="171">
        <f ca="1">IF($AN25&gt;0,OFFSET(P25,0,ROUNDUP($AK25/4,0))*$AJ25,"")-1*6.5</f>
        <v>0</v>
      </c>
      <c r="AU25" s="142">
        <f t="shared" ca="1" si="24"/>
        <v>0</v>
      </c>
      <c r="AV25" s="116">
        <f t="shared" ca="1" si="25"/>
        <v>0</v>
      </c>
      <c r="AW25" s="116">
        <f t="shared" ca="1" si="26"/>
        <v>6.5</v>
      </c>
      <c r="AX25" s="116">
        <f t="shared" ca="1" si="27"/>
        <v>0</v>
      </c>
      <c r="AY25" s="172">
        <f ca="1">IF($AN25&gt;0,OFFSET(U25,0,ROUNDUP($AK25/4,0))*$AJ25,"")-1*6.5</f>
        <v>0</v>
      </c>
      <c r="AZ25" s="116">
        <f t="shared" ca="1" si="28"/>
        <v>6.5</v>
      </c>
      <c r="BA25" s="116">
        <f t="shared" ca="1" si="29"/>
        <v>6.5</v>
      </c>
      <c r="BB25" s="116">
        <f t="shared" ca="1" si="30"/>
        <v>0</v>
      </c>
      <c r="BC25" s="116">
        <f t="shared" ca="1" si="31"/>
        <v>6.5</v>
      </c>
      <c r="BD25" s="116">
        <f t="shared" ca="1" si="32"/>
        <v>6.5</v>
      </c>
      <c r="BE25" s="116">
        <f t="shared" ca="1" si="33"/>
        <v>6.5</v>
      </c>
      <c r="BF25" s="125">
        <f t="shared" ca="1" si="34"/>
        <v>6.5</v>
      </c>
    </row>
    <row r="26" spans="1:58" x14ac:dyDescent="0.3">
      <c r="A26" s="81" t="s">
        <v>27</v>
      </c>
      <c r="B26" s="59">
        <v>5</v>
      </c>
      <c r="C26" s="59">
        <v>0</v>
      </c>
      <c r="D26" s="59">
        <v>0</v>
      </c>
      <c r="E26" s="80">
        <v>0</v>
      </c>
      <c r="F26" s="69">
        <v>0</v>
      </c>
      <c r="G26" s="47">
        <v>0</v>
      </c>
      <c r="H26" s="61">
        <v>0</v>
      </c>
      <c r="I26" s="70">
        <v>29.587628865979379</v>
      </c>
      <c r="K26" s="98">
        <f t="shared" si="0"/>
        <v>0</v>
      </c>
      <c r="L26" s="98" t="s">
        <v>186</v>
      </c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31"/>
      <c r="AJ26" s="79"/>
      <c r="AK26" s="133"/>
      <c r="AN26" s="122" t="str">
        <f t="shared" si="4"/>
        <v/>
      </c>
      <c r="AO26" s="123" t="str">
        <f t="shared" ca="1" si="3"/>
        <v/>
      </c>
      <c r="AP26" s="123">
        <f t="shared" ca="1" si="5"/>
        <v>0</v>
      </c>
      <c r="AQ26" s="77">
        <f t="shared" ca="1" si="6"/>
        <v>0</v>
      </c>
      <c r="AR26" s="116">
        <f t="shared" ca="1" si="7"/>
        <v>0</v>
      </c>
      <c r="AS26" s="116">
        <f t="shared" ca="1" si="23"/>
        <v>0</v>
      </c>
      <c r="AT26" s="125">
        <f ca="1">IF($AN26&gt;0,OFFSET(P26,0,ROUNDUP($AK26/4,0))*$AJ26,"")</f>
        <v>0</v>
      </c>
      <c r="AU26" s="142">
        <f t="shared" ca="1" si="24"/>
        <v>0</v>
      </c>
      <c r="AV26" s="116">
        <f t="shared" ca="1" si="25"/>
        <v>0</v>
      </c>
      <c r="AW26" s="116">
        <f t="shared" ca="1" si="26"/>
        <v>0</v>
      </c>
      <c r="AX26" s="116">
        <f t="shared" ca="1" si="27"/>
        <v>0</v>
      </c>
      <c r="AY26" s="116">
        <f ca="1">IF($AN26&gt;0,OFFSET(U26,0,ROUNDUP($AK26/4,0))*$AJ26,"")</f>
        <v>0</v>
      </c>
      <c r="AZ26" s="116">
        <f t="shared" ca="1" si="28"/>
        <v>0</v>
      </c>
      <c r="BA26" s="116">
        <f t="shared" ca="1" si="29"/>
        <v>0</v>
      </c>
      <c r="BB26" s="116">
        <f t="shared" ca="1" si="30"/>
        <v>0</v>
      </c>
      <c r="BC26" s="116">
        <f t="shared" ca="1" si="31"/>
        <v>0</v>
      </c>
      <c r="BD26" s="116">
        <f t="shared" ca="1" si="32"/>
        <v>0</v>
      </c>
      <c r="BE26" s="116">
        <f t="shared" ca="1" si="33"/>
        <v>0</v>
      </c>
      <c r="BF26" s="125">
        <f t="shared" ca="1" si="34"/>
        <v>0</v>
      </c>
    </row>
    <row r="27" spans="1:58" x14ac:dyDescent="0.3">
      <c r="A27" s="81" t="s">
        <v>11</v>
      </c>
      <c r="B27" s="59">
        <v>13.299999999999999</v>
      </c>
      <c r="C27" s="59">
        <v>21.1</v>
      </c>
      <c r="D27" s="59">
        <v>19.5</v>
      </c>
      <c r="E27" s="80">
        <f t="shared" si="1"/>
        <v>20.3</v>
      </c>
      <c r="F27" s="69">
        <v>0</v>
      </c>
      <c r="G27" s="47">
        <v>0</v>
      </c>
      <c r="H27" s="61">
        <v>0</v>
      </c>
      <c r="I27" s="70">
        <v>0</v>
      </c>
      <c r="K27" s="98">
        <f t="shared" si="0"/>
        <v>0</v>
      </c>
      <c r="L27" s="98" t="s">
        <v>186</v>
      </c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31"/>
      <c r="AJ27" s="79"/>
      <c r="AK27" s="133"/>
      <c r="AN27" s="122" t="str">
        <f t="shared" si="4"/>
        <v/>
      </c>
      <c r="AO27" s="123" t="str">
        <f t="shared" ca="1" si="3"/>
        <v/>
      </c>
      <c r="AP27" s="123">
        <f t="shared" ca="1" si="5"/>
        <v>0</v>
      </c>
      <c r="AQ27" s="77">
        <f t="shared" ca="1" si="6"/>
        <v>0</v>
      </c>
      <c r="AR27" s="116">
        <f t="shared" ca="1" si="7"/>
        <v>0</v>
      </c>
      <c r="AS27" s="116">
        <f t="shared" ca="1" si="23"/>
        <v>0</v>
      </c>
      <c r="AT27" s="125">
        <f ca="1">IF($AN27&gt;0,OFFSET(P27,0,ROUNDUP($AK27/4,0))*$AJ27,"")</f>
        <v>0</v>
      </c>
      <c r="AU27" s="142">
        <f t="shared" ca="1" si="24"/>
        <v>0</v>
      </c>
      <c r="AV27" s="116">
        <f t="shared" ca="1" si="25"/>
        <v>0</v>
      </c>
      <c r="AW27" s="116">
        <f t="shared" ca="1" si="26"/>
        <v>0</v>
      </c>
      <c r="AX27" s="116">
        <f t="shared" ca="1" si="27"/>
        <v>0</v>
      </c>
      <c r="AY27" s="116">
        <f ca="1">IF($AN27&gt;0,OFFSET(U27,0,ROUNDUP($AK27/4,0))*$AJ27,"")</f>
        <v>0</v>
      </c>
      <c r="AZ27" s="116">
        <f t="shared" ca="1" si="28"/>
        <v>0</v>
      </c>
      <c r="BA27" s="116">
        <f t="shared" ca="1" si="29"/>
        <v>0</v>
      </c>
      <c r="BB27" s="116">
        <f t="shared" ca="1" si="30"/>
        <v>0</v>
      </c>
      <c r="BC27" s="116">
        <f t="shared" ca="1" si="31"/>
        <v>0</v>
      </c>
      <c r="BD27" s="116">
        <f t="shared" ca="1" si="32"/>
        <v>0</v>
      </c>
      <c r="BE27" s="116">
        <f t="shared" ca="1" si="33"/>
        <v>0</v>
      </c>
      <c r="BF27" s="125">
        <f t="shared" ca="1" si="34"/>
        <v>0</v>
      </c>
    </row>
    <row r="28" spans="1:58" x14ac:dyDescent="0.3">
      <c r="A28" s="83" t="s">
        <v>18</v>
      </c>
      <c r="B28" s="59">
        <v>23.207827000000012</v>
      </c>
      <c r="C28" s="59">
        <v>50</v>
      </c>
      <c r="D28" s="59">
        <v>0</v>
      </c>
      <c r="E28" s="80">
        <v>0</v>
      </c>
      <c r="F28" s="71">
        <v>0</v>
      </c>
      <c r="G28" s="59">
        <v>0</v>
      </c>
      <c r="H28" s="61">
        <v>0</v>
      </c>
      <c r="I28" s="70">
        <v>0</v>
      </c>
      <c r="J28" s="3" t="s">
        <v>179</v>
      </c>
      <c r="K28" s="98">
        <f t="shared" si="0"/>
        <v>5.5</v>
      </c>
      <c r="L28" s="104"/>
      <c r="M28" s="104"/>
      <c r="N28" s="104"/>
      <c r="O28" s="104"/>
      <c r="P28" s="104"/>
      <c r="Q28" s="144">
        <v>5.5</v>
      </c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31"/>
      <c r="AJ28" s="79">
        <v>1.3</v>
      </c>
      <c r="AK28" s="133">
        <v>12</v>
      </c>
      <c r="AM28">
        <v>0</v>
      </c>
      <c r="AN28" s="122">
        <f t="shared" si="4"/>
        <v>7.15</v>
      </c>
      <c r="AO28" s="123" t="str">
        <f t="shared" ca="1" si="3"/>
        <v/>
      </c>
      <c r="AP28" s="123">
        <f t="shared" ca="1" si="5"/>
        <v>0</v>
      </c>
      <c r="AQ28" s="77">
        <f t="shared" ca="1" si="6"/>
        <v>0</v>
      </c>
      <c r="AR28" s="175">
        <f ca="1">IF($AN28&gt;0,OFFSET(N28,0,ROUNDUP($AK28/4,0))*$AJ28,"")-1*7.15</f>
        <v>0</v>
      </c>
      <c r="AS28" s="116">
        <f t="shared" ca="1" si="23"/>
        <v>0</v>
      </c>
      <c r="AT28" s="125">
        <f ca="1">IF($AN28&gt;0,OFFSET(P28,0,ROUNDUP($AK28/4,0))*$AJ28,"")</f>
        <v>0</v>
      </c>
      <c r="AU28" s="142">
        <f t="shared" ca="1" si="24"/>
        <v>0</v>
      </c>
      <c r="AV28" s="116">
        <f t="shared" ca="1" si="25"/>
        <v>0</v>
      </c>
      <c r="AW28" s="116">
        <f t="shared" ca="1" si="26"/>
        <v>0</v>
      </c>
      <c r="AX28" s="116">
        <f t="shared" ca="1" si="27"/>
        <v>0</v>
      </c>
      <c r="AY28" s="116">
        <f ca="1">IF($AN28&gt;0,OFFSET(U28,0,ROUNDUP($AK28/4,0))*$AJ28,"")</f>
        <v>0</v>
      </c>
      <c r="AZ28" s="116">
        <f t="shared" ca="1" si="28"/>
        <v>0</v>
      </c>
      <c r="BA28" s="116">
        <f t="shared" ca="1" si="29"/>
        <v>0</v>
      </c>
      <c r="BB28" s="116">
        <f t="shared" ca="1" si="30"/>
        <v>0</v>
      </c>
      <c r="BC28" s="116">
        <f t="shared" ca="1" si="31"/>
        <v>0</v>
      </c>
      <c r="BD28" s="116">
        <f t="shared" ca="1" si="32"/>
        <v>0</v>
      </c>
      <c r="BE28" s="116">
        <f t="shared" ca="1" si="33"/>
        <v>0</v>
      </c>
      <c r="BF28" s="125">
        <f t="shared" ca="1" si="34"/>
        <v>0</v>
      </c>
    </row>
    <row r="29" spans="1:58" x14ac:dyDescent="0.3">
      <c r="A29" s="83" t="s">
        <v>5</v>
      </c>
      <c r="B29" s="59">
        <v>0</v>
      </c>
      <c r="C29" s="60">
        <v>100</v>
      </c>
      <c r="D29" s="59">
        <v>50</v>
      </c>
      <c r="E29" s="80">
        <f t="shared" si="1"/>
        <v>75</v>
      </c>
      <c r="F29" s="69">
        <v>131.57894736842107</v>
      </c>
      <c r="G29" s="47">
        <v>65</v>
      </c>
      <c r="H29" s="61">
        <v>96</v>
      </c>
      <c r="I29" s="70">
        <v>193.29896907216497</v>
      </c>
      <c r="J29" s="3" t="s">
        <v>180</v>
      </c>
      <c r="K29" s="98">
        <f t="shared" si="0"/>
        <v>71.5</v>
      </c>
      <c r="L29" s="98" t="s">
        <v>190</v>
      </c>
      <c r="Q29" s="117"/>
      <c r="R29" s="117">
        <v>5.5</v>
      </c>
      <c r="S29" s="117">
        <f>5.5*2</f>
        <v>11</v>
      </c>
      <c r="T29" s="117">
        <v>5.5</v>
      </c>
      <c r="U29" s="117">
        <v>5.5</v>
      </c>
      <c r="V29" s="117">
        <v>5.5</v>
      </c>
      <c r="W29" s="117">
        <f>5.5*2</f>
        <v>11</v>
      </c>
      <c r="X29" s="117"/>
      <c r="Y29" s="117">
        <v>5.5</v>
      </c>
      <c r="Z29" s="117">
        <v>5.5</v>
      </c>
      <c r="AA29" s="117">
        <f>5.5*2</f>
        <v>11</v>
      </c>
      <c r="AB29" s="117">
        <v>5.5</v>
      </c>
      <c r="AC29" s="117"/>
      <c r="AD29" s="117">
        <f>5.5</f>
        <v>5.5</v>
      </c>
      <c r="AE29" s="117">
        <f>2*AD29</f>
        <v>11</v>
      </c>
      <c r="AF29" s="117">
        <v>5.5</v>
      </c>
      <c r="AG29" s="117">
        <f>2*AF29</f>
        <v>11</v>
      </c>
      <c r="AH29" s="117">
        <v>5.5</v>
      </c>
      <c r="AI29" s="131">
        <v>11</v>
      </c>
      <c r="AJ29" s="79">
        <v>1.3</v>
      </c>
      <c r="AK29" s="133">
        <v>14</v>
      </c>
      <c r="AL29" s="164">
        <v>1</v>
      </c>
      <c r="AM29" s="164">
        <v>96</v>
      </c>
      <c r="AN29" s="122">
        <f>IF(AJ29&lt;&gt;"",SUM(Q29:AF29)*AJ29,"")</f>
        <v>121.55</v>
      </c>
      <c r="AO29" s="123">
        <f t="shared" ca="1" si="3"/>
        <v>121.55000000000003</v>
      </c>
      <c r="AP29" s="123">
        <f t="shared" ca="1" si="5"/>
        <v>92.950000000000017</v>
      </c>
      <c r="AQ29" s="77">
        <f t="shared" ca="1" si="6"/>
        <v>0</v>
      </c>
      <c r="AR29" s="152">
        <f ca="1">IF($AN29&gt;0,OFFSET(N29,0,ROUNDUP($AK29/4,0))*$AJ29,"")-0*7.15</f>
        <v>7.15</v>
      </c>
      <c r="AS29" s="152">
        <f ca="1">IF($AN29&gt;0,OFFSET(O29,0,ROUNDUP($AK29/4,0))*$AJ29,"")-0*7.15</f>
        <v>14.3</v>
      </c>
      <c r="AT29" s="125">
        <f ca="1">IF($AN29&gt;0,OFFSET(P29,0,ROUNDUP($AK29/4,0))*$AJ29,"")</f>
        <v>7.15</v>
      </c>
      <c r="AU29" s="142">
        <f t="shared" ca="1" si="24"/>
        <v>7.15</v>
      </c>
      <c r="AV29" s="116">
        <f t="shared" ca="1" si="25"/>
        <v>7.15</v>
      </c>
      <c r="AW29" s="116">
        <f t="shared" ca="1" si="26"/>
        <v>14.3</v>
      </c>
      <c r="AX29" s="116">
        <f t="shared" ca="1" si="27"/>
        <v>0</v>
      </c>
      <c r="AY29" s="116">
        <f ca="1">IF($AN29&gt;0,OFFSET(U29,0,ROUNDUP($AK29/4,0))*$AJ29,"")</f>
        <v>7.15</v>
      </c>
      <c r="AZ29" s="116">
        <f t="shared" ca="1" si="28"/>
        <v>7.15</v>
      </c>
      <c r="BA29" s="116">
        <f t="shared" ca="1" si="29"/>
        <v>14.3</v>
      </c>
      <c r="BB29" s="116">
        <f t="shared" ca="1" si="30"/>
        <v>7.15</v>
      </c>
      <c r="BC29" s="116">
        <f t="shared" ca="1" si="31"/>
        <v>0</v>
      </c>
      <c r="BD29" s="116">
        <f t="shared" ca="1" si="32"/>
        <v>7.15</v>
      </c>
      <c r="BE29" s="116">
        <f t="shared" ca="1" si="33"/>
        <v>14.3</v>
      </c>
      <c r="BF29" s="125">
        <f t="shared" ca="1" si="34"/>
        <v>7.15</v>
      </c>
    </row>
    <row r="30" spans="1:58" x14ac:dyDescent="0.3">
      <c r="A30" s="79" t="s">
        <v>25</v>
      </c>
      <c r="B30" s="59">
        <v>0</v>
      </c>
      <c r="C30" s="59">
        <v>0</v>
      </c>
      <c r="D30" s="102">
        <v>0</v>
      </c>
      <c r="E30" s="80">
        <f t="shared" si="1"/>
        <v>0</v>
      </c>
      <c r="F30" s="69">
        <v>0</v>
      </c>
      <c r="G30" s="47">
        <v>0</v>
      </c>
      <c r="H30" s="61">
        <v>0</v>
      </c>
      <c r="I30" s="70">
        <v>0</v>
      </c>
      <c r="K30" s="98">
        <f t="shared" si="0"/>
        <v>0</v>
      </c>
      <c r="L30" s="98" t="s">
        <v>186</v>
      </c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31"/>
      <c r="AJ30" s="79"/>
      <c r="AK30" s="133"/>
      <c r="AN30" s="122" t="str">
        <f t="shared" si="4"/>
        <v/>
      </c>
      <c r="AO30" s="123" t="str">
        <f t="shared" ca="1" si="3"/>
        <v/>
      </c>
      <c r="AP30" s="123">
        <f t="shared" ca="1" si="5"/>
        <v>0</v>
      </c>
      <c r="AQ30" s="77">
        <f t="shared" ca="1" si="6"/>
        <v>0</v>
      </c>
      <c r="AR30" s="116">
        <f t="shared" ca="1" si="7"/>
        <v>0</v>
      </c>
      <c r="AS30" s="116">
        <f t="shared" ca="1" si="23"/>
        <v>0</v>
      </c>
      <c r="AT30" s="125">
        <f ca="1">IF($AN30&gt;0,OFFSET(P30,0,ROUNDUP($AK30/4,0))*$AJ30,"")</f>
        <v>0</v>
      </c>
      <c r="AU30" s="142">
        <f t="shared" ca="1" si="24"/>
        <v>0</v>
      </c>
      <c r="AV30" s="116">
        <f t="shared" ca="1" si="25"/>
        <v>0</v>
      </c>
      <c r="AW30" s="116">
        <f t="shared" ca="1" si="26"/>
        <v>0</v>
      </c>
      <c r="AX30" s="116">
        <f t="shared" ca="1" si="27"/>
        <v>0</v>
      </c>
      <c r="AY30" s="116">
        <f ca="1">IF($AN30&gt;0,OFFSET(U30,0,ROUNDUP($AK30/4,0))*$AJ30,"")</f>
        <v>0</v>
      </c>
      <c r="AZ30" s="116">
        <f t="shared" ca="1" si="28"/>
        <v>0</v>
      </c>
      <c r="BA30" s="116">
        <f t="shared" ca="1" si="29"/>
        <v>0</v>
      </c>
      <c r="BB30" s="116">
        <f t="shared" ca="1" si="30"/>
        <v>0</v>
      </c>
      <c r="BC30" s="116">
        <f t="shared" ca="1" si="31"/>
        <v>0</v>
      </c>
      <c r="BD30" s="116">
        <f t="shared" ca="1" si="32"/>
        <v>0</v>
      </c>
      <c r="BE30" s="116">
        <f t="shared" ca="1" si="33"/>
        <v>0</v>
      </c>
      <c r="BF30" s="125">
        <f t="shared" ca="1" si="34"/>
        <v>0</v>
      </c>
    </row>
    <row r="31" spans="1:58" x14ac:dyDescent="0.3">
      <c r="A31" s="79" t="s">
        <v>14</v>
      </c>
      <c r="B31" s="59">
        <v>23.490000000000002</v>
      </c>
      <c r="C31" s="59">
        <v>34</v>
      </c>
      <c r="D31" s="59">
        <v>9.75</v>
      </c>
      <c r="E31" s="97">
        <v>30</v>
      </c>
      <c r="F31" s="69">
        <v>13.421052631578947</v>
      </c>
      <c r="G31" s="47">
        <v>13.421052631578947</v>
      </c>
      <c r="H31" s="61">
        <v>7</v>
      </c>
      <c r="I31" s="70">
        <v>13.530927835051546</v>
      </c>
      <c r="K31" s="98">
        <f t="shared" si="0"/>
        <v>5.5</v>
      </c>
      <c r="L31" s="98" t="s">
        <v>190</v>
      </c>
      <c r="Q31" s="117"/>
      <c r="R31" s="117"/>
      <c r="S31" s="117"/>
      <c r="T31" s="117"/>
      <c r="U31" s="117"/>
      <c r="V31" s="117">
        <v>5.5</v>
      </c>
      <c r="W31" s="117"/>
      <c r="X31" s="117"/>
      <c r="Y31" s="117"/>
      <c r="Z31" s="117"/>
      <c r="AA31" s="117"/>
      <c r="AB31" s="117"/>
      <c r="AC31" s="117"/>
      <c r="AD31" s="117"/>
      <c r="AE31" s="117">
        <f>5.5</f>
        <v>5.5</v>
      </c>
      <c r="AF31" s="117"/>
      <c r="AG31" s="117"/>
      <c r="AH31" s="117"/>
      <c r="AI31" s="131"/>
      <c r="AJ31" s="79">
        <v>1.3</v>
      </c>
      <c r="AK31" s="133">
        <v>10</v>
      </c>
      <c r="AM31">
        <v>7</v>
      </c>
      <c r="AN31" s="122">
        <f t="shared" si="4"/>
        <v>14.3</v>
      </c>
      <c r="AO31" s="123">
        <f t="shared" ca="1" si="3"/>
        <v>14.3</v>
      </c>
      <c r="AP31" s="123">
        <f t="shared" ca="1" si="5"/>
        <v>14.3</v>
      </c>
      <c r="AQ31" s="77">
        <f t="shared" ca="1" si="6"/>
        <v>0</v>
      </c>
      <c r="AR31" s="116">
        <f t="shared" ca="1" si="7"/>
        <v>0</v>
      </c>
      <c r="AS31" s="116">
        <f t="shared" ca="1" si="23"/>
        <v>0</v>
      </c>
      <c r="AT31" s="125">
        <f ca="1">IF($AN31&gt;0,OFFSET(P31,0,ROUNDUP($AK31/4,0))*$AJ31,"")</f>
        <v>0</v>
      </c>
      <c r="AU31" s="142">
        <f t="shared" ca="1" si="24"/>
        <v>0</v>
      </c>
      <c r="AV31" s="116">
        <f t="shared" ca="1" si="25"/>
        <v>0</v>
      </c>
      <c r="AW31" s="116">
        <f t="shared" ca="1" si="26"/>
        <v>7.15</v>
      </c>
      <c r="AX31" s="116">
        <f t="shared" ca="1" si="27"/>
        <v>0</v>
      </c>
      <c r="AY31" s="116">
        <f ca="1">IF($AN31&gt;0,OFFSET(U31,0,ROUNDUP($AK31/4,0))*$AJ31,"")</f>
        <v>0</v>
      </c>
      <c r="AZ31" s="116">
        <f t="shared" ca="1" si="28"/>
        <v>0</v>
      </c>
      <c r="BA31" s="116">
        <f t="shared" ca="1" si="29"/>
        <v>0</v>
      </c>
      <c r="BB31" s="116">
        <f t="shared" ca="1" si="30"/>
        <v>0</v>
      </c>
      <c r="BC31" s="116">
        <f t="shared" ca="1" si="31"/>
        <v>0</v>
      </c>
      <c r="BD31" s="116">
        <f t="shared" ca="1" si="32"/>
        <v>0</v>
      </c>
      <c r="BE31" s="116">
        <f t="shared" ca="1" si="33"/>
        <v>0</v>
      </c>
      <c r="BF31" s="125">
        <f t="shared" ca="1" si="34"/>
        <v>7.15</v>
      </c>
    </row>
    <row r="32" spans="1:58" x14ac:dyDescent="0.3">
      <c r="A32" s="79" t="s">
        <v>88</v>
      </c>
      <c r="B32" s="59">
        <v>306</v>
      </c>
      <c r="C32" s="59">
        <v>400</v>
      </c>
      <c r="D32" s="59">
        <v>400</v>
      </c>
      <c r="E32" s="80">
        <f t="shared" si="1"/>
        <v>400</v>
      </c>
      <c r="F32" s="69">
        <v>0</v>
      </c>
      <c r="G32" s="47">
        <v>0</v>
      </c>
      <c r="H32" s="61">
        <v>0</v>
      </c>
      <c r="I32" s="70">
        <v>0</v>
      </c>
      <c r="K32" s="98">
        <f t="shared" si="0"/>
        <v>0</v>
      </c>
      <c r="L32" s="98" t="s">
        <v>186</v>
      </c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31"/>
      <c r="AJ32" s="79"/>
      <c r="AK32" s="133"/>
      <c r="AN32" s="122" t="str">
        <f t="shared" si="4"/>
        <v/>
      </c>
      <c r="AO32" s="123" t="str">
        <f t="shared" ca="1" si="3"/>
        <v/>
      </c>
      <c r="AP32" s="123"/>
      <c r="AQ32" s="77">
        <f t="shared" ca="1" si="6"/>
        <v>0</v>
      </c>
      <c r="AR32" s="116">
        <f t="shared" ca="1" si="7"/>
        <v>0</v>
      </c>
      <c r="AS32" s="116">
        <f t="shared" ca="1" si="23"/>
        <v>0</v>
      </c>
      <c r="AT32" s="125">
        <f ca="1">IF($AN32&gt;0,OFFSET(P32,0,ROUNDUP($AK32/4,0))*$AJ32,"")</f>
        <v>0</v>
      </c>
      <c r="AU32" s="142">
        <f t="shared" ca="1" si="24"/>
        <v>0</v>
      </c>
      <c r="AV32" s="116">
        <f t="shared" ca="1" si="25"/>
        <v>0</v>
      </c>
      <c r="AW32" s="116">
        <f t="shared" ca="1" si="26"/>
        <v>0</v>
      </c>
      <c r="AX32" s="116">
        <f t="shared" ca="1" si="27"/>
        <v>0</v>
      </c>
      <c r="AY32" s="116">
        <f ca="1">IF($AN32&gt;0,OFFSET(U32,0,ROUNDUP($AK32/4,0))*$AJ32,"")</f>
        <v>0</v>
      </c>
      <c r="AZ32" s="116">
        <f t="shared" ca="1" si="28"/>
        <v>0</v>
      </c>
      <c r="BA32" s="116">
        <f t="shared" ca="1" si="29"/>
        <v>0</v>
      </c>
      <c r="BB32" s="116">
        <f t="shared" ca="1" si="30"/>
        <v>0</v>
      </c>
      <c r="BC32" s="116">
        <f t="shared" ca="1" si="31"/>
        <v>0</v>
      </c>
      <c r="BD32" s="116">
        <f t="shared" ca="1" si="32"/>
        <v>0</v>
      </c>
      <c r="BE32" s="116">
        <f t="shared" ca="1" si="33"/>
        <v>0</v>
      </c>
      <c r="BF32" s="125">
        <f t="shared" ca="1" si="34"/>
        <v>0</v>
      </c>
    </row>
    <row r="33" spans="1:58" x14ac:dyDescent="0.3">
      <c r="A33" s="79" t="s">
        <v>92</v>
      </c>
      <c r="B33" s="59">
        <v>67</v>
      </c>
      <c r="C33" s="59">
        <v>30</v>
      </c>
      <c r="D33" s="59">
        <v>30</v>
      </c>
      <c r="E33" s="80">
        <f t="shared" si="1"/>
        <v>30</v>
      </c>
      <c r="F33" s="69">
        <v>0</v>
      </c>
      <c r="G33" s="47">
        <v>0</v>
      </c>
      <c r="H33" s="61">
        <v>0</v>
      </c>
      <c r="I33" s="70">
        <v>19.329896907216497</v>
      </c>
      <c r="K33" s="98">
        <f t="shared" si="0"/>
        <v>0</v>
      </c>
      <c r="L33" s="98" t="s">
        <v>186</v>
      </c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31"/>
      <c r="AJ33" s="79"/>
      <c r="AK33" s="133"/>
      <c r="AN33" s="122" t="str">
        <f t="shared" si="4"/>
        <v/>
      </c>
      <c r="AO33" s="123" t="str">
        <f t="shared" ca="1" si="3"/>
        <v/>
      </c>
      <c r="AP33" s="123"/>
      <c r="AQ33" s="77">
        <f t="shared" ca="1" si="6"/>
        <v>0</v>
      </c>
      <c r="AR33" s="116">
        <f t="shared" ca="1" si="7"/>
        <v>0</v>
      </c>
      <c r="AS33" s="116">
        <f t="shared" ca="1" si="23"/>
        <v>0</v>
      </c>
      <c r="AT33" s="125">
        <f ca="1">IF($AN33&gt;0,OFFSET(P33,0,ROUNDUP($AK33/4,0))*$AJ33,"")</f>
        <v>0</v>
      </c>
      <c r="AU33" s="142">
        <f t="shared" ca="1" si="24"/>
        <v>0</v>
      </c>
      <c r="AV33" s="116">
        <f t="shared" ca="1" si="25"/>
        <v>0</v>
      </c>
      <c r="AW33" s="116">
        <f t="shared" ca="1" si="26"/>
        <v>0</v>
      </c>
      <c r="AX33" s="116">
        <f t="shared" ca="1" si="27"/>
        <v>0</v>
      </c>
      <c r="AY33" s="116">
        <f ca="1">IF($AN33&gt;0,OFFSET(U33,0,ROUNDUP($AK33/4,0))*$AJ33,"")</f>
        <v>0</v>
      </c>
      <c r="AZ33" s="116">
        <f t="shared" ca="1" si="28"/>
        <v>0</v>
      </c>
      <c r="BA33" s="116">
        <f t="shared" ca="1" si="29"/>
        <v>0</v>
      </c>
      <c r="BB33" s="116">
        <f t="shared" ca="1" si="30"/>
        <v>0</v>
      </c>
      <c r="BC33" s="116">
        <f t="shared" ca="1" si="31"/>
        <v>0</v>
      </c>
      <c r="BD33" s="116">
        <f t="shared" ca="1" si="32"/>
        <v>0</v>
      </c>
      <c r="BE33" s="116">
        <f t="shared" ca="1" si="33"/>
        <v>0</v>
      </c>
      <c r="BF33" s="125">
        <f t="shared" ca="1" si="34"/>
        <v>0</v>
      </c>
    </row>
    <row r="34" spans="1:58" x14ac:dyDescent="0.3">
      <c r="A34" s="79" t="s">
        <v>89</v>
      </c>
      <c r="B34" s="59">
        <v>17</v>
      </c>
      <c r="C34" s="59"/>
      <c r="D34" s="59">
        <v>0</v>
      </c>
      <c r="E34" s="80">
        <f t="shared" si="1"/>
        <v>0</v>
      </c>
      <c r="F34" s="69">
        <v>0</v>
      </c>
      <c r="G34" s="47">
        <v>0</v>
      </c>
      <c r="H34" s="61">
        <v>0</v>
      </c>
      <c r="I34" s="70">
        <v>0</v>
      </c>
      <c r="K34" s="98">
        <f t="shared" si="0"/>
        <v>0</v>
      </c>
      <c r="L34" s="98" t="s">
        <v>186</v>
      </c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32"/>
      <c r="AJ34" s="79"/>
      <c r="AK34" s="133"/>
      <c r="AN34" s="122" t="str">
        <f t="shared" si="4"/>
        <v/>
      </c>
      <c r="AO34" s="123" t="str">
        <f t="shared" ca="1" si="3"/>
        <v/>
      </c>
      <c r="AP34" s="123"/>
      <c r="AQ34" s="77">
        <f t="shared" ca="1" si="6"/>
        <v>0</v>
      </c>
      <c r="AR34" s="116">
        <f t="shared" ca="1" si="7"/>
        <v>0</v>
      </c>
      <c r="AS34" s="116">
        <f t="shared" ca="1" si="23"/>
        <v>0</v>
      </c>
      <c r="AT34" s="125">
        <f ca="1">IF($AN34&gt;0,OFFSET(P34,0,ROUNDUP($AK34/4,0))*$AJ34,"")</f>
        <v>0</v>
      </c>
      <c r="AU34" s="142">
        <f t="shared" ca="1" si="24"/>
        <v>0</v>
      </c>
      <c r="AV34" s="116">
        <f t="shared" ca="1" si="25"/>
        <v>0</v>
      </c>
      <c r="AW34" s="116">
        <f t="shared" ca="1" si="26"/>
        <v>0</v>
      </c>
      <c r="AX34" s="116">
        <f t="shared" ca="1" si="27"/>
        <v>0</v>
      </c>
      <c r="AY34" s="116">
        <f ca="1">IF($AN34&gt;0,OFFSET(U34,0,ROUNDUP($AK34/4,0))*$AJ34,"")</f>
        <v>0</v>
      </c>
      <c r="AZ34" s="116">
        <f t="shared" ca="1" si="28"/>
        <v>0</v>
      </c>
      <c r="BA34" s="116">
        <f t="shared" ca="1" si="29"/>
        <v>0</v>
      </c>
      <c r="BB34" s="116">
        <f t="shared" ca="1" si="30"/>
        <v>0</v>
      </c>
      <c r="BC34" s="116">
        <f t="shared" ca="1" si="31"/>
        <v>0</v>
      </c>
      <c r="BD34" s="116">
        <f t="shared" ca="1" si="32"/>
        <v>0</v>
      </c>
      <c r="BE34" s="116">
        <f t="shared" ca="1" si="33"/>
        <v>0</v>
      </c>
      <c r="BF34" s="125">
        <f t="shared" ca="1" si="34"/>
        <v>0</v>
      </c>
    </row>
    <row r="35" spans="1:58" ht="15" thickBot="1" x14ac:dyDescent="0.35">
      <c r="A35" s="84" t="s">
        <v>90</v>
      </c>
      <c r="B35" s="53">
        <v>0</v>
      </c>
      <c r="C35" s="53"/>
      <c r="D35" s="53">
        <v>0</v>
      </c>
      <c r="E35" s="85">
        <f t="shared" si="1"/>
        <v>0</v>
      </c>
      <c r="F35" s="72">
        <v>0</v>
      </c>
      <c r="G35" s="54">
        <v>0</v>
      </c>
      <c r="H35" s="64">
        <v>0</v>
      </c>
      <c r="I35" s="73">
        <v>0</v>
      </c>
      <c r="K35" s="98">
        <f t="shared" si="0"/>
        <v>0</v>
      </c>
      <c r="L35" s="98" t="s">
        <v>186</v>
      </c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32"/>
      <c r="AJ35" s="136"/>
      <c r="AK35" s="137"/>
      <c r="AN35" s="139" t="str">
        <f t="shared" si="4"/>
        <v/>
      </c>
      <c r="AO35" s="105" t="str">
        <f t="shared" ca="1" si="3"/>
        <v/>
      </c>
      <c r="AP35" s="105"/>
      <c r="AQ35" s="126">
        <f t="shared" ca="1" si="6"/>
        <v>0</v>
      </c>
      <c r="AR35" s="127">
        <f t="shared" ca="1" si="7"/>
        <v>0</v>
      </c>
      <c r="AS35" s="127">
        <f t="shared" ca="1" si="23"/>
        <v>0</v>
      </c>
      <c r="AT35" s="128">
        <f ca="1">IF($AN35&gt;0,OFFSET(P35,0,ROUNDUP($AK35/4,0))*$AJ35,"")</f>
        <v>0</v>
      </c>
      <c r="AU35" s="143">
        <f t="shared" ca="1" si="24"/>
        <v>0</v>
      </c>
      <c r="AV35" s="127">
        <f t="shared" ca="1" si="25"/>
        <v>0</v>
      </c>
      <c r="AW35" s="127">
        <f t="shared" ca="1" si="26"/>
        <v>0</v>
      </c>
      <c r="AX35" s="127">
        <f t="shared" ca="1" si="27"/>
        <v>0</v>
      </c>
      <c r="AY35" s="127">
        <f ca="1">IF($AN35&gt;0,OFFSET(U35,0,ROUNDUP($AK35/4,0))*$AJ35,"")</f>
        <v>0</v>
      </c>
      <c r="AZ35" s="127">
        <f t="shared" ca="1" si="28"/>
        <v>0</v>
      </c>
      <c r="BA35" s="127">
        <f t="shared" ca="1" si="29"/>
        <v>0</v>
      </c>
      <c r="BB35" s="127">
        <f t="shared" ca="1" si="30"/>
        <v>0</v>
      </c>
      <c r="BC35" s="127">
        <f t="shared" ca="1" si="31"/>
        <v>0</v>
      </c>
      <c r="BD35" s="127">
        <f t="shared" ca="1" si="32"/>
        <v>0</v>
      </c>
      <c r="BE35" s="127">
        <f t="shared" ca="1" si="33"/>
        <v>0</v>
      </c>
      <c r="BF35" s="128">
        <f t="shared" ca="1" si="34"/>
        <v>0</v>
      </c>
    </row>
    <row r="36" spans="1:58" s="91" customFormat="1" ht="31.5" customHeight="1" x14ac:dyDescent="0.3">
      <c r="A36" s="55" t="s">
        <v>170</v>
      </c>
      <c r="B36" s="56">
        <f>SUM(B5:B35)</f>
        <v>1833.9978269999999</v>
      </c>
      <c r="C36" s="56">
        <f t="shared" ref="C36:I36" si="35">SUM(C5:C35)</f>
        <v>2260.6073749999996</v>
      </c>
      <c r="D36" s="56">
        <f t="shared" si="35"/>
        <v>1769.5309999999999</v>
      </c>
      <c r="E36" s="62">
        <f t="shared" si="35"/>
        <v>1994.5941875000001</v>
      </c>
      <c r="F36" s="56">
        <f t="shared" si="35"/>
        <v>718.86930810171498</v>
      </c>
      <c r="G36" s="56">
        <f t="shared" si="35"/>
        <v>484.4016853932585</v>
      </c>
      <c r="H36" s="62">
        <f t="shared" si="35"/>
        <v>601.27631578947376</v>
      </c>
      <c r="I36" s="56">
        <f t="shared" si="35"/>
        <v>1189.9278624860542</v>
      </c>
      <c r="K36" s="101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O36" s="160">
        <f ca="1">AO1-AN1</f>
        <v>-39.649999999999977</v>
      </c>
      <c r="AP36" s="160"/>
      <c r="AQ36" s="91">
        <f ca="1">SUM(AQ3:AQ35)</f>
        <v>0</v>
      </c>
      <c r="AR36" s="91">
        <f ca="1">SUM(AR3:AR35)</f>
        <v>7.15</v>
      </c>
      <c r="AS36" s="91">
        <f ca="1">SUM(AS3:AS35)</f>
        <v>27.46</v>
      </c>
      <c r="AT36" s="91">
        <f ca="1">SUM(AT3:AT35)</f>
        <v>20.310000000000002</v>
      </c>
      <c r="AU36" s="91">
        <f t="shared" ref="AU36:BF36" ca="1" si="36">SUM(AU3:AU35)</f>
        <v>41.47</v>
      </c>
      <c r="AV36" s="91">
        <f t="shared" ca="1" si="36"/>
        <v>27.560000000000002</v>
      </c>
      <c r="AW36" s="91">
        <f t="shared" ca="1" si="36"/>
        <v>76.31</v>
      </c>
      <c r="AX36" s="91">
        <f t="shared" ca="1" si="36"/>
        <v>26.91</v>
      </c>
      <c r="AY36" s="91">
        <f t="shared" ca="1" si="36"/>
        <v>28.310000000000002</v>
      </c>
      <c r="AZ36" s="91">
        <f t="shared" ca="1" si="36"/>
        <v>34.06</v>
      </c>
      <c r="BA36" s="91">
        <f t="shared" ca="1" si="36"/>
        <v>89.41</v>
      </c>
      <c r="BB36" s="91">
        <f t="shared" ca="1" si="36"/>
        <v>91.93</v>
      </c>
      <c r="BC36" s="91">
        <f t="shared" ca="1" si="36"/>
        <v>68.34</v>
      </c>
      <c r="BD36" s="91">
        <f t="shared" ca="1" si="36"/>
        <v>47.38</v>
      </c>
      <c r="BE36" s="91">
        <f t="shared" ca="1" si="36"/>
        <v>68.03</v>
      </c>
      <c r="BF36" s="91">
        <f t="shared" ca="1" si="36"/>
        <v>61.03</v>
      </c>
    </row>
    <row r="37" spans="1:58" s="58" customFormat="1" ht="25.95" customHeight="1" thickBot="1" x14ac:dyDescent="0.35">
      <c r="A37" s="86" t="s">
        <v>183</v>
      </c>
      <c r="B37" s="87">
        <f>B36-B32- B24</f>
        <v>1471.9978269999999</v>
      </c>
      <c r="C37" s="87">
        <f t="shared" ref="C37:E37" si="37">C36-C32- C24</f>
        <v>1710.6073749999996</v>
      </c>
      <c r="D37" s="87">
        <f t="shared" si="37"/>
        <v>1269.5309999999999</v>
      </c>
      <c r="E37" s="87">
        <f t="shared" si="37"/>
        <v>1469.5941875000001</v>
      </c>
      <c r="F37" s="88"/>
      <c r="G37" s="89"/>
      <c r="H37" s="89"/>
      <c r="I37" s="90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</row>
    <row r="38" spans="1:58" ht="15" thickBot="1" x14ac:dyDescent="0.35">
      <c r="AN38" s="3"/>
      <c r="AQ38">
        <f ca="1">ROUNDUP(AQ36/7.1,0)</f>
        <v>0</v>
      </c>
      <c r="AR38">
        <f t="shared" ref="AR38:BF38" ca="1" si="38">ROUNDUP(AR36/7.1,0)</f>
        <v>2</v>
      </c>
      <c r="AS38">
        <f t="shared" ca="1" si="38"/>
        <v>4</v>
      </c>
      <c r="AT38">
        <f t="shared" ca="1" si="38"/>
        <v>3</v>
      </c>
      <c r="AU38">
        <f t="shared" ca="1" si="38"/>
        <v>6</v>
      </c>
      <c r="AV38">
        <f t="shared" ca="1" si="38"/>
        <v>4</v>
      </c>
      <c r="AW38">
        <f t="shared" ca="1" si="38"/>
        <v>11</v>
      </c>
      <c r="AX38">
        <f t="shared" ca="1" si="38"/>
        <v>4</v>
      </c>
      <c r="AY38">
        <f t="shared" ca="1" si="38"/>
        <v>4</v>
      </c>
      <c r="AZ38">
        <f t="shared" ca="1" si="38"/>
        <v>5</v>
      </c>
      <c r="BA38">
        <f t="shared" ca="1" si="38"/>
        <v>13</v>
      </c>
      <c r="BB38">
        <f t="shared" ca="1" si="38"/>
        <v>13</v>
      </c>
      <c r="BC38">
        <f t="shared" ca="1" si="38"/>
        <v>10</v>
      </c>
      <c r="BD38">
        <f t="shared" ca="1" si="38"/>
        <v>7</v>
      </c>
      <c r="BE38">
        <f t="shared" ca="1" si="38"/>
        <v>10</v>
      </c>
      <c r="BF38">
        <f t="shared" ca="1" si="38"/>
        <v>9</v>
      </c>
    </row>
    <row r="39" spans="1:58" x14ac:dyDescent="0.3">
      <c r="A39" s="145" t="s">
        <v>188</v>
      </c>
      <c r="B39" s="146"/>
      <c r="C39" s="146"/>
      <c r="D39" s="146"/>
      <c r="E39" s="146"/>
      <c r="F39" s="146"/>
      <c r="G39" s="146"/>
      <c r="H39" s="157">
        <f>(6-1)*7</f>
        <v>35</v>
      </c>
      <c r="AI39" s="159">
        <f>SUM(AQ39:AZ39)</f>
        <v>3</v>
      </c>
      <c r="AJ39" s="3" t="s">
        <v>207</v>
      </c>
      <c r="AO39" s="161">
        <f>AI39*7</f>
        <v>21</v>
      </c>
      <c r="AP39" s="161"/>
      <c r="AQ39">
        <v>1</v>
      </c>
      <c r="AR39">
        <f>1</f>
        <v>1</v>
      </c>
      <c r="AS39">
        <f>1</f>
        <v>1</v>
      </c>
    </row>
    <row r="40" spans="1:58" ht="15" thickBot="1" x14ac:dyDescent="0.35">
      <c r="A40" s="147" t="s">
        <v>189</v>
      </c>
      <c r="B40" s="148"/>
      <c r="C40" s="148"/>
      <c r="D40" s="148"/>
      <c r="E40" s="148"/>
      <c r="F40" s="148"/>
      <c r="G40" s="148"/>
      <c r="H40" s="149">
        <f>3*7</f>
        <v>21</v>
      </c>
      <c r="AI40" s="175">
        <f>SUM(AQ40:AZ40)</f>
        <v>1</v>
      </c>
      <c r="AJ40" s="3" t="s">
        <v>208</v>
      </c>
      <c r="AL40" s="3"/>
      <c r="AM40" s="3"/>
      <c r="AO40" s="161">
        <f>AI40*7</f>
        <v>7</v>
      </c>
      <c r="AP40" s="161"/>
      <c r="AR40">
        <v>1</v>
      </c>
    </row>
    <row r="41" spans="1:58" x14ac:dyDescent="0.3">
      <c r="AI41" s="171">
        <f>SUM(AQ41:AZ41)</f>
        <v>2</v>
      </c>
      <c r="AJ41" s="177" t="s">
        <v>212</v>
      </c>
      <c r="AN41" s="3"/>
      <c r="AO41" s="161">
        <f>AI41*7</f>
        <v>14</v>
      </c>
      <c r="AP41" s="161"/>
      <c r="AT41">
        <v>1</v>
      </c>
      <c r="AY41">
        <v>1</v>
      </c>
    </row>
    <row r="42" spans="1:58" x14ac:dyDescent="0.3">
      <c r="A42" s="3" t="s">
        <v>197</v>
      </c>
      <c r="AJ42" s="3"/>
    </row>
    <row r="43" spans="1:58" x14ac:dyDescent="0.3">
      <c r="B43" s="3" t="s">
        <v>198</v>
      </c>
      <c r="C43" s="3" t="s">
        <v>199</v>
      </c>
      <c r="D43" s="3" t="s">
        <v>201</v>
      </c>
    </row>
    <row r="44" spans="1:58" x14ac:dyDescent="0.3">
      <c r="B44" s="3" t="s">
        <v>202</v>
      </c>
    </row>
    <row r="45" spans="1:58" x14ac:dyDescent="0.3">
      <c r="B45" s="3" t="s">
        <v>203</v>
      </c>
    </row>
    <row r="46" spans="1:58" x14ac:dyDescent="0.3">
      <c r="B46" s="3" t="s">
        <v>204</v>
      </c>
    </row>
    <row r="47" spans="1:58" x14ac:dyDescent="0.3">
      <c r="B47" s="3" t="s">
        <v>205</v>
      </c>
    </row>
    <row r="48" spans="1:58" x14ac:dyDescent="0.3">
      <c r="B48" s="3" t="s">
        <v>206</v>
      </c>
    </row>
    <row r="49" spans="1:9" x14ac:dyDescent="0.3">
      <c r="B49" s="3" t="s">
        <v>200</v>
      </c>
    </row>
    <row r="50" spans="1:9" x14ac:dyDescent="0.3">
      <c r="A50" s="162">
        <v>44019</v>
      </c>
      <c r="B50" s="3" t="s">
        <v>210</v>
      </c>
    </row>
    <row r="51" spans="1:9" ht="149.4" customHeight="1" x14ac:dyDescent="0.3">
      <c r="B51" s="167" t="s">
        <v>213</v>
      </c>
      <c r="C51" s="167"/>
      <c r="D51" s="167"/>
      <c r="E51" s="167"/>
      <c r="F51" s="167"/>
      <c r="G51" s="167"/>
      <c r="H51" s="167"/>
      <c r="I51" s="167"/>
    </row>
    <row r="52" spans="1:9" ht="73.2" customHeight="1" x14ac:dyDescent="0.3">
      <c r="B52" s="178" t="s">
        <v>214</v>
      </c>
      <c r="C52" s="178"/>
      <c r="D52" s="178"/>
      <c r="E52" s="178"/>
      <c r="F52" s="178"/>
      <c r="G52" s="178"/>
      <c r="H52" s="178"/>
      <c r="I52" s="178"/>
    </row>
  </sheetData>
  <autoFilter ref="A3:I37" xr:uid="{C6F962FC-9C0E-42C5-8DE8-B9E5AC72C986}"/>
  <mergeCells count="4">
    <mergeCell ref="B2:E2"/>
    <mergeCell ref="F2:I2"/>
    <mergeCell ref="B51:I51"/>
    <mergeCell ref="B52:I52"/>
  </mergeCell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5D5E-5506-411D-9FF8-11C6029B4B57}">
  <dimension ref="A1:BE52"/>
  <sheetViews>
    <sheetView zoomScale="58" zoomScaleNormal="70" workbookViewId="0">
      <pane xSplit="1" ySplit="4" topLeftCell="B45" activePane="bottomRight" state="frozen"/>
      <selection pane="topRight" activeCell="B1" sqref="B1"/>
      <selection pane="bottomLeft" activeCell="A5" sqref="A5"/>
      <selection pane="bottomRight" activeCell="B51" sqref="B51:J51"/>
    </sheetView>
    <sheetView topLeftCell="H9" workbookViewId="1">
      <selection activeCell="M50" sqref="M50:V52"/>
    </sheetView>
  </sheetViews>
  <sheetFormatPr baseColWidth="10" defaultRowHeight="14.4" x14ac:dyDescent="0.3"/>
  <cols>
    <col min="1" max="1" width="41.88671875" customWidth="1"/>
    <col min="2" max="2" width="7.77734375" customWidth="1"/>
    <col min="3" max="3" width="9.88671875" customWidth="1"/>
    <col min="4" max="4" width="10.77734375" bestFit="1" customWidth="1"/>
    <col min="5" max="5" width="9.44140625" customWidth="1"/>
    <col min="6" max="6" width="10.21875" customWidth="1"/>
    <col min="7" max="7" width="10.77734375" bestFit="1" customWidth="1"/>
    <col min="8" max="8" width="8.88671875" customWidth="1"/>
    <col min="9" max="9" width="11.44140625" customWidth="1"/>
    <col min="10" max="10" width="15.44140625" customWidth="1"/>
    <col min="11" max="16" width="2" style="98" customWidth="1"/>
    <col min="17" max="17" width="9.6640625" style="98" customWidth="1"/>
    <col min="18" max="18" width="7.33203125" style="98" customWidth="1"/>
    <col min="19" max="19" width="8.33203125" style="98" customWidth="1"/>
    <col min="20" max="23" width="7.33203125" style="98" customWidth="1"/>
    <col min="24" max="24" width="8.33203125" style="98" bestFit="1" customWidth="1"/>
    <col min="25" max="25" width="8.21875" style="98" bestFit="1" customWidth="1"/>
    <col min="26" max="28" width="7.33203125" style="98" customWidth="1"/>
    <col min="29" max="29" width="7.77734375" style="98" bestFit="1" customWidth="1"/>
    <col min="30" max="30" width="7.44140625" style="98" bestFit="1" customWidth="1"/>
    <col min="31" max="31" width="8.5546875" style="98" bestFit="1" customWidth="1"/>
    <col min="32" max="32" width="6.77734375" style="98" bestFit="1" customWidth="1"/>
    <col min="33" max="33" width="7.6640625" style="98" bestFit="1" customWidth="1"/>
    <col min="34" max="34" width="8.88671875" style="98" bestFit="1" customWidth="1"/>
    <col min="35" max="35" width="7.6640625" style="98" customWidth="1"/>
    <col min="36" max="36" width="5.77734375" bestFit="1" customWidth="1"/>
    <col min="37" max="37" width="10" bestFit="1" customWidth="1"/>
    <col min="38" max="38" width="11.88671875" bestFit="1" customWidth="1"/>
    <col min="42" max="42" width="8.21875" bestFit="1" customWidth="1"/>
    <col min="43" max="43" width="10.33203125" customWidth="1"/>
    <col min="44" max="44" width="8" bestFit="1" customWidth="1"/>
    <col min="45" max="45" width="9.88671875" bestFit="1" customWidth="1"/>
    <col min="46" max="46" width="7.77734375" bestFit="1" customWidth="1"/>
    <col min="47" max="47" width="7.44140625" bestFit="1" customWidth="1"/>
    <col min="48" max="48" width="8.5546875" bestFit="1" customWidth="1"/>
    <col min="49" max="49" width="6.77734375" bestFit="1" customWidth="1"/>
    <col min="50" max="51" width="7.6640625" bestFit="1" customWidth="1"/>
    <col min="52" max="52" width="7.109375" bestFit="1" customWidth="1"/>
    <col min="53" max="53" width="8.33203125" bestFit="1" customWidth="1"/>
    <col min="54" max="54" width="8.21875" bestFit="1" customWidth="1"/>
    <col min="55" max="55" width="6.77734375" bestFit="1" customWidth="1"/>
    <col min="56" max="57" width="7.21875" bestFit="1" customWidth="1"/>
  </cols>
  <sheetData>
    <row r="1" spans="1:57" ht="15" thickBot="1" x14ac:dyDescent="0.35">
      <c r="K1" s="98">
        <f>SUM(K4:K35)</f>
        <v>516</v>
      </c>
      <c r="Q1" s="109" t="s">
        <v>193</v>
      </c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1"/>
      <c r="AF1" s="115"/>
      <c r="AG1" s="115"/>
      <c r="AH1" s="115"/>
      <c r="AI1" s="115"/>
      <c r="AJ1" s="2" t="s">
        <v>167</v>
      </c>
      <c r="AK1" s="2"/>
      <c r="AM1">
        <f>SUM(AM5:AM35)</f>
        <v>755.31</v>
      </c>
      <c r="AN1">
        <f ca="1">SUM(AN5:AN35)</f>
        <v>715.66</v>
      </c>
      <c r="AO1">
        <f ca="1">SUM(AO5:AO35)</f>
        <v>660.74</v>
      </c>
      <c r="AP1" s="103" t="s">
        <v>196</v>
      </c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</row>
    <row r="2" spans="1:57" ht="48.6" customHeight="1" thickBot="1" x14ac:dyDescent="0.35">
      <c r="A2" s="74"/>
      <c r="B2" s="153" t="s">
        <v>167</v>
      </c>
      <c r="C2" s="153"/>
      <c r="D2" s="153"/>
      <c r="E2" s="154"/>
      <c r="F2" s="155" t="s">
        <v>169</v>
      </c>
      <c r="G2" s="153"/>
      <c r="H2" s="153"/>
      <c r="I2" s="154"/>
      <c r="J2" s="58" t="s">
        <v>173</v>
      </c>
      <c r="K2" s="99" t="s">
        <v>184</v>
      </c>
      <c r="L2" s="100" t="s">
        <v>185</v>
      </c>
      <c r="M2" s="119">
        <v>44075</v>
      </c>
      <c r="N2" s="119">
        <v>44105</v>
      </c>
      <c r="O2" s="120">
        <v>44136</v>
      </c>
      <c r="P2" s="121">
        <v>44166</v>
      </c>
      <c r="Q2" s="107">
        <v>44197</v>
      </c>
      <c r="R2" s="107">
        <v>44228</v>
      </c>
      <c r="S2" s="107">
        <v>44256</v>
      </c>
      <c r="T2" s="107">
        <v>44287</v>
      </c>
      <c r="U2" s="107">
        <v>44317</v>
      </c>
      <c r="V2" s="107">
        <v>44348</v>
      </c>
      <c r="W2" s="107">
        <v>44378</v>
      </c>
      <c r="X2" s="107">
        <v>44409</v>
      </c>
      <c r="Y2" s="107">
        <v>44440</v>
      </c>
      <c r="Z2" s="107">
        <v>44470</v>
      </c>
      <c r="AA2" s="107">
        <v>44501</v>
      </c>
      <c r="AB2" s="107">
        <v>44531</v>
      </c>
      <c r="AC2" s="108">
        <v>44562</v>
      </c>
      <c r="AD2" s="108">
        <v>44593</v>
      </c>
      <c r="AE2" s="112">
        <v>44621</v>
      </c>
      <c r="AF2" s="108">
        <v>44652</v>
      </c>
      <c r="AG2" s="112">
        <v>44682</v>
      </c>
      <c r="AH2" s="108">
        <v>44713</v>
      </c>
      <c r="AI2" s="112">
        <v>44743</v>
      </c>
      <c r="AJ2" s="113" t="s">
        <v>191</v>
      </c>
      <c r="AK2" s="114" t="s">
        <v>192</v>
      </c>
      <c r="AL2" s="163" t="s">
        <v>211</v>
      </c>
      <c r="AM2" s="138" t="s">
        <v>195</v>
      </c>
      <c r="AN2" s="140" t="s">
        <v>194</v>
      </c>
      <c r="AO2" s="140" t="s">
        <v>218</v>
      </c>
      <c r="AP2" s="119">
        <v>44075</v>
      </c>
      <c r="AQ2" s="120">
        <v>44105</v>
      </c>
      <c r="AR2" s="120">
        <v>44136</v>
      </c>
      <c r="AS2" s="121">
        <v>44166</v>
      </c>
      <c r="AT2" s="141">
        <v>44197</v>
      </c>
      <c r="AU2" s="129">
        <v>44228</v>
      </c>
      <c r="AV2" s="129">
        <v>44256</v>
      </c>
      <c r="AW2" s="129">
        <v>44287</v>
      </c>
      <c r="AX2" s="129">
        <v>44317</v>
      </c>
      <c r="AY2" s="129">
        <v>44348</v>
      </c>
      <c r="AZ2" s="129">
        <v>44378</v>
      </c>
      <c r="BA2" s="129">
        <v>44409</v>
      </c>
      <c r="BB2" s="129">
        <v>44440</v>
      </c>
      <c r="BC2" s="129">
        <v>44470</v>
      </c>
      <c r="BD2" s="129">
        <v>44501</v>
      </c>
      <c r="BE2" s="130">
        <v>44531</v>
      </c>
    </row>
    <row r="3" spans="1:57" x14ac:dyDescent="0.3">
      <c r="A3" s="75" t="s">
        <v>57</v>
      </c>
      <c r="B3" s="44">
        <v>2020</v>
      </c>
      <c r="C3" s="46">
        <v>2021</v>
      </c>
      <c r="D3" s="49">
        <v>2021</v>
      </c>
      <c r="E3" s="76">
        <v>2021</v>
      </c>
      <c r="F3" s="65">
        <v>2021</v>
      </c>
      <c r="G3" s="51">
        <v>2021</v>
      </c>
      <c r="H3" s="52">
        <v>2021</v>
      </c>
      <c r="I3" s="66">
        <v>2022</v>
      </c>
      <c r="AJ3" s="122"/>
      <c r="AK3" s="124"/>
      <c r="AM3" s="122"/>
      <c r="AN3" s="123"/>
      <c r="AO3" s="123"/>
      <c r="AP3" s="77"/>
      <c r="AQ3" s="116"/>
      <c r="AR3" s="116"/>
      <c r="AS3" s="125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4"/>
    </row>
    <row r="4" spans="1:57" x14ac:dyDescent="0.3">
      <c r="A4" s="77">
        <v>0</v>
      </c>
      <c r="B4" s="45" t="s">
        <v>165</v>
      </c>
      <c r="C4" s="48" t="s">
        <v>171</v>
      </c>
      <c r="D4" s="50" t="s">
        <v>168</v>
      </c>
      <c r="E4" s="78" t="s">
        <v>172</v>
      </c>
      <c r="F4" s="67" t="s">
        <v>171</v>
      </c>
      <c r="G4" s="50" t="s">
        <v>168</v>
      </c>
      <c r="H4" s="57" t="s">
        <v>172</v>
      </c>
      <c r="I4" s="68"/>
      <c r="AJ4" s="122"/>
      <c r="AK4" s="124"/>
      <c r="AM4" s="122"/>
      <c r="AN4" s="123"/>
      <c r="AO4" s="123"/>
      <c r="AP4" s="77"/>
      <c r="AQ4" s="116"/>
      <c r="AR4" s="116"/>
      <c r="AS4" s="125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4"/>
    </row>
    <row r="5" spans="1:57" x14ac:dyDescent="0.3">
      <c r="A5" s="92" t="s">
        <v>23</v>
      </c>
      <c r="B5" s="59">
        <v>761.39262499999995</v>
      </c>
      <c r="C5" s="59">
        <v>801.60737500000005</v>
      </c>
      <c r="D5" s="59">
        <v>702</v>
      </c>
      <c r="E5" s="80">
        <f>+(C5+D5)/2</f>
        <v>751.80368750000002</v>
      </c>
      <c r="F5" s="69">
        <v>0</v>
      </c>
      <c r="G5" s="47">
        <v>0</v>
      </c>
      <c r="H5" s="61">
        <v>0</v>
      </c>
      <c r="I5" s="70">
        <v>0</v>
      </c>
      <c r="J5" t="s">
        <v>181</v>
      </c>
      <c r="K5" s="98">
        <f t="shared" ref="K5:K35" si="0">SUM(Q5:AB5)</f>
        <v>0</v>
      </c>
      <c r="L5" s="98" t="s">
        <v>186</v>
      </c>
      <c r="AJ5" s="122"/>
      <c r="AK5" s="124"/>
      <c r="AM5" s="122" t="str">
        <f>IF(AJ5&lt;&gt;"",SUM(Q5:AE5)*AJ5,"")</f>
        <v/>
      </c>
      <c r="AN5" s="123" t="str">
        <f>IF(SUM(AQ5:BE5)&gt;0,SUM(AQ5:BE5),"")</f>
        <v/>
      </c>
      <c r="AO5" s="123"/>
      <c r="AP5" s="77"/>
      <c r="AQ5" s="116"/>
      <c r="AR5" s="116"/>
      <c r="AS5" s="125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4"/>
    </row>
    <row r="6" spans="1:57" x14ac:dyDescent="0.3">
      <c r="A6" s="79" t="s">
        <v>54</v>
      </c>
      <c r="B6" s="59">
        <v>12.607375000000001</v>
      </c>
      <c r="C6" s="59">
        <v>0</v>
      </c>
      <c r="D6" s="59">
        <v>0</v>
      </c>
      <c r="E6" s="80">
        <f t="shared" ref="E6:E35" si="1">+(C6+D6)/2</f>
        <v>0</v>
      </c>
      <c r="F6" s="69">
        <v>0</v>
      </c>
      <c r="G6" s="47">
        <v>0</v>
      </c>
      <c r="H6" s="61">
        <v>0</v>
      </c>
      <c r="I6" s="70">
        <v>0</v>
      </c>
      <c r="K6" s="98">
        <f t="shared" si="0"/>
        <v>0</v>
      </c>
      <c r="L6" s="98" t="s">
        <v>186</v>
      </c>
      <c r="AJ6" s="122"/>
      <c r="AK6" s="124"/>
      <c r="AM6" s="122" t="str">
        <f t="shared" ref="AM6:AM7" si="2">IF(AJ6&lt;&gt;"",SUM(Q6:AE6)*AJ6,"")</f>
        <v/>
      </c>
      <c r="AN6" s="123" t="str">
        <f t="shared" ref="AN6:AN35" si="3">IF(SUM(AQ6:BE6)&gt;0,SUM(AQ6:BE6),"")</f>
        <v/>
      </c>
      <c r="AO6" s="123"/>
      <c r="AP6" s="77"/>
      <c r="AQ6" s="116"/>
      <c r="AR6" s="116"/>
      <c r="AS6" s="125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4"/>
    </row>
    <row r="7" spans="1:57" x14ac:dyDescent="0.3">
      <c r="A7" s="92" t="s">
        <v>29</v>
      </c>
      <c r="B7" s="59">
        <v>0</v>
      </c>
      <c r="C7" s="59">
        <v>-100</v>
      </c>
      <c r="D7" s="59">
        <v>-100</v>
      </c>
      <c r="E7" s="80">
        <f t="shared" si="1"/>
        <v>-100</v>
      </c>
      <c r="F7" s="69">
        <v>0</v>
      </c>
      <c r="G7" s="47">
        <v>0</v>
      </c>
      <c r="H7" s="61">
        <v>0</v>
      </c>
      <c r="I7" s="70">
        <v>0</v>
      </c>
      <c r="K7" s="98">
        <f t="shared" si="0"/>
        <v>0</v>
      </c>
      <c r="L7" s="98" t="s">
        <v>186</v>
      </c>
      <c r="AJ7" s="122"/>
      <c r="AK7" s="124"/>
      <c r="AM7" s="122" t="str">
        <f t="shared" si="2"/>
        <v/>
      </c>
      <c r="AN7" s="123" t="str">
        <f t="shared" si="3"/>
        <v/>
      </c>
      <c r="AO7" s="123"/>
      <c r="AP7" s="77"/>
      <c r="AQ7" s="116"/>
      <c r="AR7" s="116"/>
      <c r="AS7" s="125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4"/>
    </row>
    <row r="8" spans="1:57" x14ac:dyDescent="0.3">
      <c r="A8" s="83" t="s">
        <v>31</v>
      </c>
      <c r="B8" s="59">
        <v>0</v>
      </c>
      <c r="C8" s="59">
        <v>32</v>
      </c>
      <c r="D8" s="59">
        <v>32</v>
      </c>
      <c r="E8" s="80">
        <f t="shared" si="1"/>
        <v>32</v>
      </c>
      <c r="F8" s="69">
        <v>42.10526315789474</v>
      </c>
      <c r="G8" s="69">
        <v>42.10526315789474</v>
      </c>
      <c r="H8" s="93">
        <v>42.10526315789474</v>
      </c>
      <c r="I8" s="69">
        <v>42.10526315789474</v>
      </c>
      <c r="J8" t="s">
        <v>182</v>
      </c>
      <c r="K8" s="98">
        <f t="shared" si="0"/>
        <v>33</v>
      </c>
      <c r="L8" s="98" t="s">
        <v>190</v>
      </c>
      <c r="Q8" s="117"/>
      <c r="R8" s="117"/>
      <c r="S8" s="117"/>
      <c r="T8" s="117"/>
      <c r="U8" s="117"/>
      <c r="V8" s="117"/>
      <c r="W8" s="117"/>
      <c r="X8" s="117"/>
      <c r="Y8" s="117"/>
      <c r="Z8" s="117">
        <v>16.5</v>
      </c>
      <c r="AA8" s="117">
        <v>16.5</v>
      </c>
      <c r="AB8" s="117"/>
      <c r="AC8" s="117"/>
      <c r="AD8" s="117"/>
      <c r="AE8" s="117"/>
      <c r="AF8" s="117"/>
      <c r="AG8" s="117"/>
      <c r="AH8" s="117"/>
      <c r="AI8" s="131"/>
      <c r="AJ8" s="79">
        <v>1.3</v>
      </c>
      <c r="AK8" s="133">
        <v>12</v>
      </c>
      <c r="AM8" s="122">
        <f>IF(AJ8&lt;&gt;"",SUM(Q8:AG8)*AJ8,"")</f>
        <v>42.9</v>
      </c>
      <c r="AN8" s="123">
        <f t="shared" ca="1" si="3"/>
        <v>42.9</v>
      </c>
      <c r="AO8" s="123">
        <f ca="1">SUM(AT8:BE8)</f>
        <v>42.9</v>
      </c>
      <c r="AP8" s="77">
        <f ca="1">IF($AM8&gt;0,OFFSET(M8,0,ROUNDUP($AK8/4,0))*$AJ8,"")</f>
        <v>0</v>
      </c>
      <c r="AQ8" s="116">
        <f ca="1">IF($AM8&gt;0,OFFSET(N8,0,ROUNDUP($AK8/4,0))*$AJ8,"")</f>
        <v>0</v>
      </c>
      <c r="AR8" s="116">
        <f ca="1">IF($AM8&gt;0,OFFSET(O8,0,ROUNDUP($AK8/4,0))*$AJ8,"")</f>
        <v>0</v>
      </c>
      <c r="AS8" s="125">
        <f ca="1">IF($AM8&gt;0,OFFSET(P8,0,ROUNDUP($AK8/4,0))*$AJ8,"")</f>
        <v>0</v>
      </c>
      <c r="AT8" s="142">
        <f ca="1">IF($AM8&gt;0,OFFSET(Q8,0,ROUNDUP($AK8/4,0))*$AJ8,"")</f>
        <v>0</v>
      </c>
      <c r="AU8" s="116">
        <f ca="1">IF($AM8&gt;0,OFFSET(R8,0,ROUNDUP($AK8/4,0))*$AJ8,"")</f>
        <v>0</v>
      </c>
      <c r="AV8" s="116">
        <f ca="1">IF($AM8&gt;0,OFFSET(S8,0,ROUNDUP($AK8/4,0))*$AJ8,"")</f>
        <v>0</v>
      </c>
      <c r="AW8" s="116">
        <f ca="1">IF($AM8&gt;0,OFFSET(T8,0,ROUNDUP($AK8/4,0))*$AJ8,"")</f>
        <v>0</v>
      </c>
      <c r="AX8" s="116">
        <f ca="1">IF($AM8&gt;0,OFFSET(U8,0,ROUNDUP($AK8/4,0))*$AJ8,"")</f>
        <v>0</v>
      </c>
      <c r="AY8" s="116">
        <f ca="1">IF($AM8&gt;0,OFFSET(V8,0,ROUNDUP($AK8/4,0))*$AJ8,"")</f>
        <v>0</v>
      </c>
      <c r="AZ8" s="116">
        <f ca="1">IF($AM8&gt;0,OFFSET(W8,0,ROUNDUP($AK8/4,0))*$AJ8,"")</f>
        <v>21.45</v>
      </c>
      <c r="BA8" s="116">
        <f ca="1">IF($AM8&gt;0,OFFSET(X8,0,ROUNDUP($AK8/4,0))*$AJ8,"")</f>
        <v>21.45</v>
      </c>
      <c r="BB8" s="116">
        <f ca="1">IF($AM8&gt;0,OFFSET(Y8,0,ROUNDUP($AK8/4,0))*$AJ8,"")</f>
        <v>0</v>
      </c>
      <c r="BC8" s="116">
        <f ca="1">IF($AM8&gt;0,OFFSET(Z8,0,ROUNDUP($AK8/4,0))*$AJ8,"")</f>
        <v>0</v>
      </c>
      <c r="BD8" s="116">
        <f ca="1">IF($AM8&gt;0,OFFSET(AA8,0,ROUNDUP($AK8/4,0))*$AJ8,"")</f>
        <v>0</v>
      </c>
      <c r="BE8" s="125">
        <f ca="1">IF($AM8&gt;0,OFFSET(AB8,0,ROUNDUP($AK8/4,0))*$AJ8,"")</f>
        <v>0</v>
      </c>
    </row>
    <row r="9" spans="1:57" x14ac:dyDescent="0.3">
      <c r="A9" s="81" t="s">
        <v>30</v>
      </c>
      <c r="B9" s="59">
        <v>106</v>
      </c>
      <c r="C9" s="59">
        <v>49</v>
      </c>
      <c r="D9" s="59">
        <v>49</v>
      </c>
      <c r="E9" s="80">
        <f t="shared" si="1"/>
        <v>49</v>
      </c>
      <c r="F9" s="69">
        <v>0</v>
      </c>
      <c r="G9" s="47">
        <v>0</v>
      </c>
      <c r="H9" s="61">
        <v>0</v>
      </c>
      <c r="I9" s="70">
        <v>0</v>
      </c>
      <c r="K9" s="98">
        <f t="shared" si="0"/>
        <v>0</v>
      </c>
      <c r="L9" s="98" t="s">
        <v>186</v>
      </c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31"/>
      <c r="AJ9" s="79"/>
      <c r="AK9" s="133"/>
      <c r="AM9" s="122" t="str">
        <f t="shared" ref="AM9:AM35" si="4">IF(AJ9&lt;&gt;"",SUM(Q9:AG9)*AJ9,"")</f>
        <v/>
      </c>
      <c r="AN9" s="123" t="str">
        <f t="shared" ca="1" si="3"/>
        <v/>
      </c>
      <c r="AO9" s="123">
        <f t="shared" ref="AO9:AO31" ca="1" si="5">SUM(AT9:BE9)</f>
        <v>0</v>
      </c>
      <c r="AP9" s="77">
        <f ca="1">IF($AM9&gt;0,OFFSET(M9,0,ROUNDUP($AK9/4,0))*$AJ9,"")</f>
        <v>0</v>
      </c>
      <c r="AQ9" s="116">
        <f ca="1">IF($AM9&gt;0,OFFSET(N9,0,ROUNDUP($AK9/4,0))*$AJ9,"")</f>
        <v>0</v>
      </c>
      <c r="AR9" s="116">
        <f ca="1">IF($AM9&gt;0,OFFSET(O9,0,ROUNDUP($AK9/4,0))*$AJ9,"")</f>
        <v>0</v>
      </c>
      <c r="AS9" s="125">
        <f ca="1">IF($AM9&gt;0,OFFSET(P9,0,ROUNDUP($AK9/4,0))*$AJ9,"")</f>
        <v>0</v>
      </c>
      <c r="AT9" s="142">
        <f ca="1">IF($AM9&gt;0,OFFSET(Q9,0,ROUNDUP($AK9/4,0))*$AJ9,"")</f>
        <v>0</v>
      </c>
      <c r="AU9" s="116">
        <f ca="1">IF($AM9&gt;0,OFFSET(R9,0,ROUNDUP($AK9/4,0))*$AJ9,"")</f>
        <v>0</v>
      </c>
      <c r="AV9" s="116">
        <f ca="1">IF($AM9&gt;0,OFFSET(S9,0,ROUNDUP($AK9/4,0))*$AJ9,"")</f>
        <v>0</v>
      </c>
      <c r="AW9" s="116">
        <f ca="1">IF($AM9&gt;0,OFFSET(T9,0,ROUNDUP($AK9/4,0))*$AJ9,"")</f>
        <v>0</v>
      </c>
      <c r="AX9" s="116">
        <f ca="1">IF($AM9&gt;0,OFFSET(U9,0,ROUNDUP($AK9/4,0))*$AJ9,"")</f>
        <v>0</v>
      </c>
      <c r="AY9" s="116">
        <f ca="1">IF($AM9&gt;0,OFFSET(V9,0,ROUNDUP($AK9/4,0))*$AJ9,"")</f>
        <v>0</v>
      </c>
      <c r="AZ9" s="116">
        <f ca="1">IF($AM9&gt;0,OFFSET(W9,0,ROUNDUP($AK9/4,0))*$AJ9,"")</f>
        <v>0</v>
      </c>
      <c r="BA9" s="116">
        <f ca="1">IF($AM9&gt;0,OFFSET(X9,0,ROUNDUP($AK9/4,0))*$AJ9,"")</f>
        <v>0</v>
      </c>
      <c r="BB9" s="116">
        <f ca="1">IF($AM9&gt;0,OFFSET(Y9,0,ROUNDUP($AK9/4,0))*$AJ9,"")</f>
        <v>0</v>
      </c>
      <c r="BC9" s="116">
        <f ca="1">IF($AM9&gt;0,OFFSET(Z9,0,ROUNDUP($AK9/4,0))*$AJ9,"")</f>
        <v>0</v>
      </c>
      <c r="BD9" s="116">
        <f ca="1">IF($AM9&gt;0,OFFSET(AA9,0,ROUNDUP($AK9/4,0))*$AJ9,"")</f>
        <v>0</v>
      </c>
      <c r="BE9" s="125">
        <f ca="1">IF($AM9&gt;0,OFFSET(AB9,0,ROUNDUP($AK9/4,0))*$AJ9,"")</f>
        <v>0</v>
      </c>
    </row>
    <row r="10" spans="1:57" ht="28.8" x14ac:dyDescent="0.3">
      <c r="A10" s="82" t="s">
        <v>106</v>
      </c>
      <c r="B10" s="59">
        <v>0</v>
      </c>
      <c r="C10" s="59">
        <v>0</v>
      </c>
      <c r="D10" s="59">
        <v>0</v>
      </c>
      <c r="E10" s="80">
        <f t="shared" si="1"/>
        <v>0</v>
      </c>
      <c r="F10" s="69">
        <v>0</v>
      </c>
      <c r="G10" s="47">
        <v>0</v>
      </c>
      <c r="H10" s="61">
        <v>0</v>
      </c>
      <c r="I10" s="70">
        <v>132.37113402061854</v>
      </c>
      <c r="K10" s="98">
        <f t="shared" si="0"/>
        <v>0</v>
      </c>
      <c r="L10" s="98" t="s">
        <v>186</v>
      </c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31"/>
      <c r="AJ10" s="79"/>
      <c r="AK10" s="133"/>
      <c r="AM10" s="122" t="str">
        <f t="shared" si="4"/>
        <v/>
      </c>
      <c r="AN10" s="123" t="str">
        <f t="shared" ca="1" si="3"/>
        <v/>
      </c>
      <c r="AO10" s="123">
        <f t="shared" ca="1" si="5"/>
        <v>0</v>
      </c>
      <c r="AP10" s="77">
        <f ca="1">IF($AM10&gt;0,OFFSET(M10,0,ROUNDUP($AK10/4,0))*$AJ10,"")</f>
        <v>0</v>
      </c>
      <c r="AQ10" s="116">
        <f ca="1">IF($AM10&gt;0,OFFSET(N10,0,ROUNDUP($AK10/4,0))*$AJ10,"")</f>
        <v>0</v>
      </c>
      <c r="AR10" s="116">
        <f ca="1">IF($AM10&gt;0,OFFSET(O10,0,ROUNDUP($AK10/4,0))*$AJ10,"")</f>
        <v>0</v>
      </c>
      <c r="AS10" s="125">
        <f ca="1">IF($AM10&gt;0,OFFSET(P10,0,ROUNDUP($AK10/4,0))*$AJ10,"")</f>
        <v>0</v>
      </c>
      <c r="AT10" s="142">
        <f ca="1">IF($AM10&gt;0,OFFSET(Q10,0,ROUNDUP($AK10/4,0))*$AJ10,"")</f>
        <v>0</v>
      </c>
      <c r="AU10" s="116">
        <f ca="1">IF($AM10&gt;0,OFFSET(R10,0,ROUNDUP($AK10/4,0))*$AJ10,"")</f>
        <v>0</v>
      </c>
      <c r="AV10" s="116">
        <f ca="1">IF($AM10&gt;0,OFFSET(S10,0,ROUNDUP($AK10/4,0))*$AJ10,"")</f>
        <v>0</v>
      </c>
      <c r="AW10" s="116">
        <f ca="1">IF($AM10&gt;0,OFFSET(T10,0,ROUNDUP($AK10/4,0))*$AJ10,"")</f>
        <v>0</v>
      </c>
      <c r="AX10" s="116">
        <f ca="1">IF($AM10&gt;0,OFFSET(U10,0,ROUNDUP($AK10/4,0))*$AJ10,"")</f>
        <v>0</v>
      </c>
      <c r="AY10" s="116">
        <f ca="1">IF($AM10&gt;0,OFFSET(V10,0,ROUNDUP($AK10/4,0))*$AJ10,"")</f>
        <v>0</v>
      </c>
      <c r="AZ10" s="116">
        <f ca="1">IF($AM10&gt;0,OFFSET(W10,0,ROUNDUP($AK10/4,0))*$AJ10,"")</f>
        <v>0</v>
      </c>
      <c r="BA10" s="116">
        <f ca="1">IF($AM10&gt;0,OFFSET(X10,0,ROUNDUP($AK10/4,0))*$AJ10,"")</f>
        <v>0</v>
      </c>
      <c r="BB10" s="116">
        <f ca="1">IF($AM10&gt;0,OFFSET(Y10,0,ROUNDUP($AK10/4,0))*$AJ10,"")</f>
        <v>0</v>
      </c>
      <c r="BC10" s="116">
        <f ca="1">IF($AM10&gt;0,OFFSET(Z10,0,ROUNDUP($AK10/4,0))*$AJ10,"")</f>
        <v>0</v>
      </c>
      <c r="BD10" s="116">
        <f ca="1">IF($AM10&gt;0,OFFSET(AA10,0,ROUNDUP($AK10/4,0))*$AJ10,"")</f>
        <v>0</v>
      </c>
      <c r="BE10" s="125">
        <f ca="1">IF($AM10&gt;0,OFFSET(AB10,0,ROUNDUP($AK10/4,0))*$AJ10,"")</f>
        <v>0</v>
      </c>
    </row>
    <row r="11" spans="1:57" x14ac:dyDescent="0.3">
      <c r="A11" s="79" t="s">
        <v>0</v>
      </c>
      <c r="B11" s="60">
        <v>245</v>
      </c>
      <c r="C11" s="59">
        <v>250</v>
      </c>
      <c r="D11" s="59">
        <v>226.62499999999997</v>
      </c>
      <c r="E11" s="80">
        <f t="shared" si="1"/>
        <v>238.3125</v>
      </c>
      <c r="F11" s="69">
        <v>0</v>
      </c>
      <c r="G11" s="47">
        <v>0</v>
      </c>
      <c r="H11" s="61">
        <v>0</v>
      </c>
      <c r="I11" s="70">
        <v>0</v>
      </c>
      <c r="K11" s="98">
        <f t="shared" si="0"/>
        <v>0</v>
      </c>
      <c r="L11" s="98" t="s">
        <v>186</v>
      </c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31"/>
      <c r="AJ11" s="79"/>
      <c r="AK11" s="133"/>
      <c r="AM11" s="122" t="str">
        <f t="shared" si="4"/>
        <v/>
      </c>
      <c r="AN11" s="123" t="str">
        <f t="shared" ca="1" si="3"/>
        <v/>
      </c>
      <c r="AO11" s="123">
        <f t="shared" ca="1" si="5"/>
        <v>0</v>
      </c>
      <c r="AP11" s="77">
        <f ca="1">IF($AM11&gt;0,OFFSET(M11,0,ROUNDUP($AK11/4,0))*$AJ11,"")</f>
        <v>0</v>
      </c>
      <c r="AQ11" s="116">
        <f ca="1">IF($AM11&gt;0,OFFSET(N11,0,ROUNDUP($AK11/4,0))*$AJ11,"")</f>
        <v>0</v>
      </c>
      <c r="AR11" s="116">
        <f ca="1">IF($AM11&gt;0,OFFSET(O11,0,ROUNDUP($AK11/4,0))*$AJ11,"")</f>
        <v>0</v>
      </c>
      <c r="AS11" s="125">
        <f ca="1">IF($AM11&gt;0,OFFSET(P11,0,ROUNDUP($AK11/4,0))*$AJ11,"")</f>
        <v>0</v>
      </c>
      <c r="AT11" s="142">
        <f ca="1">IF($AM11&gt;0,OFFSET(Q11,0,ROUNDUP($AK11/4,0))*$AJ11,"")</f>
        <v>0</v>
      </c>
      <c r="AU11" s="116">
        <f ca="1">IF($AM11&gt;0,OFFSET(R11,0,ROUNDUP($AK11/4,0))*$AJ11,"")</f>
        <v>0</v>
      </c>
      <c r="AV11" s="116">
        <f ca="1">IF($AM11&gt;0,OFFSET(S11,0,ROUNDUP($AK11/4,0))*$AJ11,"")</f>
        <v>0</v>
      </c>
      <c r="AW11" s="116">
        <f ca="1">IF($AM11&gt;0,OFFSET(T11,0,ROUNDUP($AK11/4,0))*$AJ11,"")</f>
        <v>0</v>
      </c>
      <c r="AX11" s="116">
        <f ca="1">IF($AM11&gt;0,OFFSET(U11,0,ROUNDUP($AK11/4,0))*$AJ11,"")</f>
        <v>0</v>
      </c>
      <c r="AY11" s="116">
        <f ca="1">IF($AM11&gt;0,OFFSET(V11,0,ROUNDUP($AK11/4,0))*$AJ11,"")</f>
        <v>0</v>
      </c>
      <c r="AZ11" s="116">
        <f ca="1">IF($AM11&gt;0,OFFSET(W11,0,ROUNDUP($AK11/4,0))*$AJ11,"")</f>
        <v>0</v>
      </c>
      <c r="BA11" s="116">
        <f ca="1">IF($AM11&gt;0,OFFSET(X11,0,ROUNDUP($AK11/4,0))*$AJ11,"")</f>
        <v>0</v>
      </c>
      <c r="BB11" s="116">
        <f ca="1">IF($AM11&gt;0,OFFSET(Y11,0,ROUNDUP($AK11/4,0))*$AJ11,"")</f>
        <v>0</v>
      </c>
      <c r="BC11" s="116">
        <f ca="1">IF($AM11&gt;0,OFFSET(Z11,0,ROUNDUP($AK11/4,0))*$AJ11,"")</f>
        <v>0</v>
      </c>
      <c r="BD11" s="116">
        <f ca="1">IF($AM11&gt;0,OFFSET(AA11,0,ROUNDUP($AK11/4,0))*$AJ11,"")</f>
        <v>0</v>
      </c>
      <c r="BE11" s="125">
        <f ca="1">IF($AM11&gt;0,OFFSET(AB11,0,ROUNDUP($AK11/4,0))*$AJ11,"")</f>
        <v>0</v>
      </c>
    </row>
    <row r="12" spans="1:57" x14ac:dyDescent="0.3">
      <c r="A12" s="79" t="s">
        <v>22</v>
      </c>
      <c r="B12" s="59">
        <v>2</v>
      </c>
      <c r="C12" s="59">
        <v>10</v>
      </c>
      <c r="D12" s="59">
        <v>0</v>
      </c>
      <c r="E12" s="80">
        <f t="shared" si="1"/>
        <v>5</v>
      </c>
      <c r="F12" s="69">
        <v>0</v>
      </c>
      <c r="G12" s="47">
        <v>0</v>
      </c>
      <c r="H12" s="61">
        <v>0</v>
      </c>
      <c r="I12" s="70">
        <v>0</v>
      </c>
      <c r="K12" s="98">
        <f t="shared" si="0"/>
        <v>0</v>
      </c>
      <c r="L12" s="98" t="s">
        <v>186</v>
      </c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31"/>
      <c r="AJ12" s="79"/>
      <c r="AK12" s="133"/>
      <c r="AM12" s="122" t="str">
        <f t="shared" si="4"/>
        <v/>
      </c>
      <c r="AN12" s="123" t="str">
        <f t="shared" ca="1" si="3"/>
        <v/>
      </c>
      <c r="AO12" s="123">
        <f t="shared" ca="1" si="5"/>
        <v>0</v>
      </c>
      <c r="AP12" s="77">
        <f ca="1">IF($AM12&gt;0,OFFSET(M12,0,ROUNDUP($AK12/4,0))*$AJ12,"")</f>
        <v>0</v>
      </c>
      <c r="AQ12" s="116">
        <f ca="1">IF($AM12&gt;0,OFFSET(N12,0,ROUNDUP($AK12/4,0))*$AJ12,"")</f>
        <v>0</v>
      </c>
      <c r="AR12" s="116">
        <f ca="1">IF($AM12&gt;0,OFFSET(O12,0,ROUNDUP($AK12/4,0))*$AJ12,"")</f>
        <v>0</v>
      </c>
      <c r="AS12" s="125">
        <f ca="1">IF($AM12&gt;0,OFFSET(P12,0,ROUNDUP($AK12/4,0))*$AJ12,"")</f>
        <v>0</v>
      </c>
      <c r="AT12" s="142">
        <f ca="1">IF($AM12&gt;0,OFFSET(Q12,0,ROUNDUP($AK12/4,0))*$AJ12,"")</f>
        <v>0</v>
      </c>
      <c r="AU12" s="116">
        <f ca="1">IF($AM12&gt;0,OFFSET(R12,0,ROUNDUP($AK12/4,0))*$AJ12,"")</f>
        <v>0</v>
      </c>
      <c r="AV12" s="116">
        <f ca="1">IF($AM12&gt;0,OFFSET(S12,0,ROUNDUP($AK12/4,0))*$AJ12,"")</f>
        <v>0</v>
      </c>
      <c r="AW12" s="116">
        <f ca="1">IF($AM12&gt;0,OFFSET(T12,0,ROUNDUP($AK12/4,0))*$AJ12,"")</f>
        <v>0</v>
      </c>
      <c r="AX12" s="116">
        <f ca="1">IF($AM12&gt;0,OFFSET(U12,0,ROUNDUP($AK12/4,0))*$AJ12,"")</f>
        <v>0</v>
      </c>
      <c r="AY12" s="116">
        <f ca="1">IF($AM12&gt;0,OFFSET(V12,0,ROUNDUP($AK12/4,0))*$AJ12,"")</f>
        <v>0</v>
      </c>
      <c r="AZ12" s="116">
        <f ca="1">IF($AM12&gt;0,OFFSET(W12,0,ROUNDUP($AK12/4,0))*$AJ12,"")</f>
        <v>0</v>
      </c>
      <c r="BA12" s="116">
        <f ca="1">IF($AM12&gt;0,OFFSET(X12,0,ROUNDUP($AK12/4,0))*$AJ12,"")</f>
        <v>0</v>
      </c>
      <c r="BB12" s="116">
        <f ca="1">IF($AM12&gt;0,OFFSET(Y12,0,ROUNDUP($AK12/4,0))*$AJ12,"")</f>
        <v>0</v>
      </c>
      <c r="BC12" s="116">
        <f ca="1">IF($AM12&gt;0,OFFSET(Z12,0,ROUNDUP($AK12/4,0))*$AJ12,"")</f>
        <v>0</v>
      </c>
      <c r="BD12" s="116">
        <f ca="1">IF($AM12&gt;0,OFFSET(AA12,0,ROUNDUP($AK12/4,0))*$AJ12,"")</f>
        <v>0</v>
      </c>
      <c r="BE12" s="125">
        <f ca="1">IF($AM12&gt;0,OFFSET(AB12,0,ROUNDUP($AK12/4,0))*$AJ12,"")</f>
        <v>0</v>
      </c>
    </row>
    <row r="13" spans="1:57" x14ac:dyDescent="0.3">
      <c r="A13" s="79" t="s">
        <v>166</v>
      </c>
      <c r="B13" s="59">
        <v>27</v>
      </c>
      <c r="C13" s="59">
        <v>20</v>
      </c>
      <c r="D13" s="59">
        <v>20</v>
      </c>
      <c r="E13" s="80">
        <f t="shared" si="1"/>
        <v>20</v>
      </c>
      <c r="F13" s="69">
        <v>26.315789473684212</v>
      </c>
      <c r="G13" s="47">
        <v>26.315789473684212</v>
      </c>
      <c r="H13" s="61">
        <v>26.315789473684212</v>
      </c>
      <c r="I13" s="70">
        <v>38.041237113402062</v>
      </c>
      <c r="J13" s="3" t="s">
        <v>187</v>
      </c>
      <c r="K13" s="98">
        <f t="shared" si="0"/>
        <v>20</v>
      </c>
      <c r="L13" s="98" t="s">
        <v>190</v>
      </c>
      <c r="Q13" s="117"/>
      <c r="R13" s="117"/>
      <c r="S13" s="117"/>
      <c r="T13" s="117"/>
      <c r="U13" s="117"/>
      <c r="V13" s="117">
        <f>2*5</f>
        <v>10</v>
      </c>
      <c r="W13" s="117"/>
      <c r="X13" s="117"/>
      <c r="Y13" s="117"/>
      <c r="Z13" s="117">
        <f>2*5</f>
        <v>10</v>
      </c>
      <c r="AA13" s="117"/>
      <c r="AB13" s="117"/>
      <c r="AC13" s="117"/>
      <c r="AD13" s="117"/>
      <c r="AE13" s="117"/>
      <c r="AF13" s="117"/>
      <c r="AG13" s="117"/>
      <c r="AH13" s="117"/>
      <c r="AI13" s="131"/>
      <c r="AJ13" s="79">
        <v>1.3</v>
      </c>
      <c r="AK13" s="133">
        <v>12</v>
      </c>
      <c r="AM13" s="122">
        <f t="shared" si="4"/>
        <v>26</v>
      </c>
      <c r="AN13" s="123">
        <f t="shared" ca="1" si="3"/>
        <v>26</v>
      </c>
      <c r="AO13" s="123">
        <f t="shared" ca="1" si="5"/>
        <v>26</v>
      </c>
      <c r="AP13" s="77">
        <f ca="1">IF($AM13&gt;0,OFFSET(M13,0,ROUNDUP($AK13/4,0))*$AJ13,"")</f>
        <v>0</v>
      </c>
      <c r="AQ13" s="116">
        <f ca="1">IF($AM13&gt;0,OFFSET(N13,0,ROUNDUP($AK13/4,0))*$AJ13,"")</f>
        <v>0</v>
      </c>
      <c r="AR13" s="116">
        <f ca="1">IF($AM13&gt;0,OFFSET(O13,0,ROUNDUP($AK13/4,0))*$AJ13,"")</f>
        <v>0</v>
      </c>
      <c r="AS13" s="125">
        <f ca="1">IF($AM13&gt;0,OFFSET(P13,0,ROUNDUP($AK13/4,0))*$AJ13,"")</f>
        <v>0</v>
      </c>
      <c r="AT13" s="142">
        <f ca="1">IF($AM13&gt;0,OFFSET(Q13,0,ROUNDUP($AK13/4,0))*$AJ13,"")</f>
        <v>0</v>
      </c>
      <c r="AU13" s="116">
        <f ca="1">IF($AM13&gt;0,OFFSET(R13,0,ROUNDUP($AK13/4,0))*$AJ13,"")</f>
        <v>0</v>
      </c>
      <c r="AV13" s="116">
        <f ca="1">IF($AM13&gt;0,OFFSET(S13,0,ROUNDUP($AK13/4,0))*$AJ13,"")</f>
        <v>13</v>
      </c>
      <c r="AW13" s="116">
        <f ca="1">IF($AM13&gt;0,OFFSET(T13,0,ROUNDUP($AK13/4,0))*$AJ13,"")</f>
        <v>0</v>
      </c>
      <c r="AX13" s="116">
        <f ca="1">IF($AM13&gt;0,OFFSET(U13,0,ROUNDUP($AK13/4,0))*$AJ13,"")</f>
        <v>0</v>
      </c>
      <c r="AY13" s="116">
        <f ca="1">IF($AM13&gt;0,OFFSET(V13,0,ROUNDUP($AK13/4,0))*$AJ13,"")</f>
        <v>0</v>
      </c>
      <c r="AZ13" s="116">
        <f ca="1">IF($AM13&gt;0,OFFSET(W13,0,ROUNDUP($AK13/4,0))*$AJ13,"")</f>
        <v>13</v>
      </c>
      <c r="BA13" s="116">
        <f ca="1">IF($AM13&gt;0,OFFSET(X13,0,ROUNDUP($AK13/4,0))*$AJ13,"")</f>
        <v>0</v>
      </c>
      <c r="BB13" s="116">
        <f ca="1">IF($AM13&gt;0,OFFSET(Y13,0,ROUNDUP($AK13/4,0))*$AJ13,"")</f>
        <v>0</v>
      </c>
      <c r="BC13" s="116">
        <f ca="1">IF($AM13&gt;0,OFFSET(Z13,0,ROUNDUP($AK13/4,0))*$AJ13,"")</f>
        <v>0</v>
      </c>
      <c r="BD13" s="116">
        <f ca="1">IF($AM13&gt;0,OFFSET(AA13,0,ROUNDUP($AK13/4,0))*$AJ13,"")</f>
        <v>0</v>
      </c>
      <c r="BE13" s="125">
        <f ca="1">IF($AM13&gt;0,OFFSET(AB13,0,ROUNDUP($AK13/4,0))*$AJ13,"")</f>
        <v>0</v>
      </c>
    </row>
    <row r="14" spans="1:57" x14ac:dyDescent="0.3">
      <c r="A14" s="81" t="s">
        <v>12</v>
      </c>
      <c r="B14" s="59">
        <v>14</v>
      </c>
      <c r="C14" s="59">
        <v>16.5</v>
      </c>
      <c r="D14" s="59">
        <v>17</v>
      </c>
      <c r="E14" s="80">
        <f t="shared" si="1"/>
        <v>16.75</v>
      </c>
      <c r="F14" s="69">
        <v>10.855263157894738</v>
      </c>
      <c r="G14" s="47">
        <v>10.855263157894738</v>
      </c>
      <c r="H14" s="61">
        <v>10.855263157894738</v>
      </c>
      <c r="I14" s="70">
        <v>42.268041237113401</v>
      </c>
      <c r="K14" s="98">
        <f t="shared" si="0"/>
        <v>11</v>
      </c>
      <c r="L14" s="98" t="s">
        <v>190</v>
      </c>
      <c r="Q14" s="117"/>
      <c r="R14" s="117"/>
      <c r="S14" s="117"/>
      <c r="T14" s="117"/>
      <c r="U14" s="117"/>
      <c r="V14" s="117"/>
      <c r="W14" s="117"/>
      <c r="X14" s="117"/>
      <c r="Y14" s="117"/>
      <c r="Z14" s="117">
        <v>5.5</v>
      </c>
      <c r="AA14" s="117">
        <v>5.5</v>
      </c>
      <c r="AB14" s="117"/>
      <c r="AC14" s="117"/>
      <c r="AD14" s="117"/>
      <c r="AE14" s="117"/>
      <c r="AF14" s="117"/>
      <c r="AG14" s="117"/>
      <c r="AH14" s="117"/>
      <c r="AI14" s="131"/>
      <c r="AJ14" s="79">
        <v>1.4</v>
      </c>
      <c r="AK14" s="133">
        <v>8</v>
      </c>
      <c r="AM14" s="122">
        <f t="shared" si="4"/>
        <v>15.399999999999999</v>
      </c>
      <c r="AN14" s="123">
        <f t="shared" ca="1" si="3"/>
        <v>15.399999999999999</v>
      </c>
      <c r="AO14" s="123">
        <f t="shared" ca="1" si="5"/>
        <v>15.399999999999999</v>
      </c>
      <c r="AP14" s="77">
        <f ca="1">IF($AM14&gt;0,OFFSET(M14,0,ROUNDUP($AK14/4,0))*$AJ14,"")</f>
        <v>0</v>
      </c>
      <c r="AQ14" s="116">
        <f ca="1">IF($AM14&gt;0,OFFSET(N14,0,ROUNDUP($AK14/4,0))*$AJ14,"")</f>
        <v>0</v>
      </c>
      <c r="AR14" s="116">
        <f ca="1">IF($AM14&gt;0,OFFSET(O14,0,ROUNDUP($AK14/4,0))*$AJ14,"")</f>
        <v>0</v>
      </c>
      <c r="AS14" s="125">
        <f ca="1">IF($AM14&gt;0,OFFSET(P14,0,ROUNDUP($AK14/4,0))*$AJ14,"")</f>
        <v>0</v>
      </c>
      <c r="AT14" s="142">
        <f ca="1">IF($AM14&gt;0,OFFSET(Q14,0,ROUNDUP($AK14/4,0))*$AJ14,"")</f>
        <v>0</v>
      </c>
      <c r="AU14" s="116">
        <f ca="1">IF($AM14&gt;0,OFFSET(R14,0,ROUNDUP($AK14/4,0))*$AJ14,"")</f>
        <v>0</v>
      </c>
      <c r="AV14" s="116">
        <f ca="1">IF($AM14&gt;0,OFFSET(S14,0,ROUNDUP($AK14/4,0))*$AJ14,"")</f>
        <v>0</v>
      </c>
      <c r="AW14" s="116">
        <f ca="1">IF($AM14&gt;0,OFFSET(T14,0,ROUNDUP($AK14/4,0))*$AJ14,"")</f>
        <v>0</v>
      </c>
      <c r="AX14" s="116">
        <f ca="1">IF($AM14&gt;0,OFFSET(U14,0,ROUNDUP($AK14/4,0))*$AJ14,"")</f>
        <v>0</v>
      </c>
      <c r="AY14" s="116">
        <f ca="1">IF($AM14&gt;0,OFFSET(V14,0,ROUNDUP($AK14/4,0))*$AJ14,"")</f>
        <v>0</v>
      </c>
      <c r="AZ14" s="116">
        <f ca="1">IF($AM14&gt;0,OFFSET(W14,0,ROUNDUP($AK14/4,0))*$AJ14,"")</f>
        <v>0</v>
      </c>
      <c r="BA14" s="116">
        <f ca="1">IF($AM14&gt;0,OFFSET(X14,0,ROUNDUP($AK14/4,0))*$AJ14,"")</f>
        <v>7.6999999999999993</v>
      </c>
      <c r="BB14" s="116">
        <f ca="1">IF($AM14&gt;0,OFFSET(Y14,0,ROUNDUP($AK14/4,0))*$AJ14,"")</f>
        <v>7.6999999999999993</v>
      </c>
      <c r="BC14" s="116">
        <f ca="1">IF($AM14&gt;0,OFFSET(Z14,0,ROUNDUP($AK14/4,0))*$AJ14,"")</f>
        <v>0</v>
      </c>
      <c r="BD14" s="116">
        <f ca="1">IF($AM14&gt;0,OFFSET(AA14,0,ROUNDUP($AK14/4,0))*$AJ14,"")</f>
        <v>0</v>
      </c>
      <c r="BE14" s="125">
        <f ca="1">IF($AM14&gt;0,OFFSET(AB14,0,ROUNDUP($AK14/4,0))*$AJ14,"")</f>
        <v>0</v>
      </c>
    </row>
    <row r="15" spans="1:57" x14ac:dyDescent="0.3">
      <c r="A15" s="150" t="s">
        <v>1</v>
      </c>
      <c r="B15" s="59">
        <v>52</v>
      </c>
      <c r="C15" s="59">
        <v>121.8</v>
      </c>
      <c r="D15" s="59">
        <v>90</v>
      </c>
      <c r="E15" s="80">
        <f t="shared" si="1"/>
        <v>105.9</v>
      </c>
      <c r="F15" s="69">
        <v>72</v>
      </c>
      <c r="G15" s="69">
        <v>72</v>
      </c>
      <c r="H15" s="93">
        <v>72</v>
      </c>
      <c r="I15" s="70">
        <v>167.5257731958763</v>
      </c>
      <c r="J15" t="s">
        <v>174</v>
      </c>
      <c r="K15" s="98">
        <f t="shared" si="0"/>
        <v>55</v>
      </c>
      <c r="L15" s="98" t="s">
        <v>190</v>
      </c>
      <c r="Q15" s="117"/>
      <c r="R15" s="117">
        <v>5</v>
      </c>
      <c r="S15" s="117">
        <f t="shared" ref="S15:AE15" si="6">R15</f>
        <v>5</v>
      </c>
      <c r="T15" s="117">
        <f t="shared" si="6"/>
        <v>5</v>
      </c>
      <c r="U15" s="117">
        <f t="shared" si="6"/>
        <v>5</v>
      </c>
      <c r="V15" s="117">
        <v>5</v>
      </c>
      <c r="W15" s="117">
        <f>5+5</f>
        <v>10</v>
      </c>
      <c r="X15" s="117"/>
      <c r="Y15" s="117">
        <v>5</v>
      </c>
      <c r="Z15" s="117">
        <f t="shared" si="6"/>
        <v>5</v>
      </c>
      <c r="AA15" s="117">
        <f t="shared" si="6"/>
        <v>5</v>
      </c>
      <c r="AB15" s="117">
        <f t="shared" si="6"/>
        <v>5</v>
      </c>
      <c r="AC15" s="117">
        <f t="shared" si="6"/>
        <v>5</v>
      </c>
      <c r="AD15" s="117">
        <f t="shared" si="6"/>
        <v>5</v>
      </c>
      <c r="AE15" s="117">
        <f t="shared" si="6"/>
        <v>5</v>
      </c>
      <c r="AF15" s="117">
        <v>5</v>
      </c>
      <c r="AG15" s="117">
        <v>5</v>
      </c>
      <c r="AH15" s="117">
        <v>5</v>
      </c>
      <c r="AI15" s="131">
        <v>5</v>
      </c>
      <c r="AJ15" s="79">
        <v>1.3</v>
      </c>
      <c r="AK15" s="133">
        <v>10</v>
      </c>
      <c r="AL15" s="164">
        <v>1</v>
      </c>
      <c r="AM15" s="122">
        <f>IF(AJ15&lt;&gt;"",SUM(Q15:AE15)*AJ15,"")</f>
        <v>91</v>
      </c>
      <c r="AN15" s="123">
        <f t="shared" ca="1" si="3"/>
        <v>84.5</v>
      </c>
      <c r="AO15" s="123">
        <f t="shared" ca="1" si="5"/>
        <v>78</v>
      </c>
      <c r="AP15" s="77">
        <f ca="1">IF($AM15&gt;0,OFFSET(M15,0,ROUNDUP($AK15/4,0))*$AJ15,"")</f>
        <v>0</v>
      </c>
      <c r="AQ15" s="116">
        <f ca="1">IF($AM15&gt;0,OFFSET(N15,0,ROUNDUP($AK15/4,0))*$AJ15,"")</f>
        <v>0</v>
      </c>
      <c r="AR15" s="159">
        <f ca="1">IF($AM15&gt;0,OFFSET(O15,0,ROUNDUP($AK15/4,0))*$AJ15,"")-1*6.5</f>
        <v>0</v>
      </c>
      <c r="AS15" s="168">
        <f ca="1">IF($AM15&gt;0,OFFSET(P15,0,ROUNDUP($AK15/4,0))*$AJ15,"")</f>
        <v>6.5</v>
      </c>
      <c r="AT15" s="142">
        <f ca="1">IF($AM15&gt;0,OFFSET(Q15,0,ROUNDUP($AK15/4,0))*$AJ15,"")</f>
        <v>6.5</v>
      </c>
      <c r="AU15" s="116">
        <f ca="1">IF($AM15&gt;0,OFFSET(R15,0,ROUNDUP($AK15/4,0))*$AJ15,"")</f>
        <v>6.5</v>
      </c>
      <c r="AV15" s="116">
        <f ca="1">IF($AM15&gt;0,OFFSET(S15,0,ROUNDUP($AK15/4,0))*$AJ15,"")</f>
        <v>6.5</v>
      </c>
      <c r="AW15" s="116">
        <f ca="1">IF($AM15&gt;0,OFFSET(T15,0,ROUNDUP($AK15/4,0))*$AJ15,"")</f>
        <v>13</v>
      </c>
      <c r="AX15" s="116">
        <f ca="1">IF($AM15&gt;0,OFFSET(U15,0,ROUNDUP($AK15/4,0))*$AJ15,"")</f>
        <v>0</v>
      </c>
      <c r="AY15" s="116">
        <f ca="1">IF($AM15&gt;0,OFFSET(V15,0,ROUNDUP($AK15/4,0))*$AJ15,"")</f>
        <v>6.5</v>
      </c>
      <c r="AZ15" s="116">
        <f ca="1">IF($AM15&gt;0,OFFSET(W15,0,ROUNDUP($AK15/4,0))*$AJ15,"")</f>
        <v>6.5</v>
      </c>
      <c r="BA15" s="116">
        <f ca="1">IF($AM15&gt;0,OFFSET(X15,0,ROUNDUP($AK15/4,0))*$AJ15,"")</f>
        <v>6.5</v>
      </c>
      <c r="BB15" s="116">
        <f ca="1">IF($AM15&gt;0,OFFSET(Y15,0,ROUNDUP($AK15/4,0))*$AJ15,"")</f>
        <v>6.5</v>
      </c>
      <c r="BC15" s="116">
        <f ca="1">IF($AM15&gt;0,OFFSET(Z15,0,ROUNDUP($AK15/4,0))*$AJ15,"")</f>
        <v>6.5</v>
      </c>
      <c r="BD15" s="116">
        <f ca="1">IF($AM15&gt;0,OFFSET(AA15,0,ROUNDUP($AK15/4,0))*$AJ15,"")</f>
        <v>6.5</v>
      </c>
      <c r="BE15" s="125">
        <f ca="1">IF($AM15&gt;0,OFFSET(AB15,0,ROUNDUP($AK15/4,0))*$AJ15,"")</f>
        <v>6.5</v>
      </c>
    </row>
    <row r="16" spans="1:57" x14ac:dyDescent="0.3">
      <c r="A16" s="81" t="s">
        <v>16</v>
      </c>
      <c r="B16" s="59">
        <v>0</v>
      </c>
      <c r="C16" s="59">
        <v>7.1999999999999993</v>
      </c>
      <c r="D16" s="59">
        <v>0</v>
      </c>
      <c r="E16" s="80">
        <v>0</v>
      </c>
      <c r="F16" s="69">
        <v>9.473684210526315</v>
      </c>
      <c r="G16" s="47">
        <v>0</v>
      </c>
      <c r="H16" s="61">
        <v>0</v>
      </c>
      <c r="I16" s="70">
        <v>10.56701030927835</v>
      </c>
      <c r="K16" s="98">
        <f t="shared" si="0"/>
        <v>0</v>
      </c>
      <c r="L16" s="98" t="s">
        <v>186</v>
      </c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31"/>
      <c r="AJ16" s="79"/>
      <c r="AK16" s="133"/>
      <c r="AM16" s="122" t="str">
        <f t="shared" si="4"/>
        <v/>
      </c>
      <c r="AN16" s="123" t="str">
        <f t="shared" ca="1" si="3"/>
        <v/>
      </c>
      <c r="AO16" s="123">
        <f t="shared" ca="1" si="5"/>
        <v>0</v>
      </c>
      <c r="AP16" s="77">
        <f ca="1">IF($AM16&gt;0,OFFSET(M16,0,ROUNDUP($AK16/4,0))*$AJ16,"")</f>
        <v>0</v>
      </c>
      <c r="AQ16" s="116">
        <f ca="1">IF($AM16&gt;0,OFFSET(N16,0,ROUNDUP($AK16/4,0))*$AJ16,"")</f>
        <v>0</v>
      </c>
      <c r="AR16" s="116">
        <f ca="1">IF($AM16&gt;0,OFFSET(O16,0,ROUNDUP($AK16/4,0))*$AJ16,"")</f>
        <v>0</v>
      </c>
      <c r="AS16" s="125">
        <f ca="1">IF($AM16&gt;0,OFFSET(P16,0,ROUNDUP($AK16/4,0))*$AJ16,"")</f>
        <v>0</v>
      </c>
      <c r="AT16" s="142">
        <f ca="1">IF($AM16&gt;0,OFFSET(Q16,0,ROUNDUP($AK16/4,0))*$AJ16,"")</f>
        <v>0</v>
      </c>
      <c r="AU16" s="116">
        <f ca="1">IF($AM16&gt;0,OFFSET(R16,0,ROUNDUP($AK16/4,0))*$AJ16,"")</f>
        <v>0</v>
      </c>
      <c r="AV16" s="116">
        <f ca="1">IF($AM16&gt;0,OFFSET(S16,0,ROUNDUP($AK16/4,0))*$AJ16,"")</f>
        <v>0</v>
      </c>
      <c r="AW16" s="116">
        <f ca="1">IF($AM16&gt;0,OFFSET(T16,0,ROUNDUP($AK16/4,0))*$AJ16,"")</f>
        <v>0</v>
      </c>
      <c r="AX16" s="116">
        <f ca="1">IF($AM16&gt;0,OFFSET(U16,0,ROUNDUP($AK16/4,0))*$AJ16,"")</f>
        <v>0</v>
      </c>
      <c r="AY16" s="116">
        <f ca="1">IF($AM16&gt;0,OFFSET(V16,0,ROUNDUP($AK16/4,0))*$AJ16,"")</f>
        <v>0</v>
      </c>
      <c r="AZ16" s="116">
        <f ca="1">IF($AM16&gt;0,OFFSET(W16,0,ROUNDUP($AK16/4,0))*$AJ16,"")</f>
        <v>0</v>
      </c>
      <c r="BA16" s="116">
        <f ca="1">IF($AM16&gt;0,OFFSET(X16,0,ROUNDUP($AK16/4,0))*$AJ16,"")</f>
        <v>0</v>
      </c>
      <c r="BB16" s="116">
        <f ca="1">IF($AM16&gt;0,OFFSET(Y16,0,ROUNDUP($AK16/4,0))*$AJ16,"")</f>
        <v>0</v>
      </c>
      <c r="BC16" s="116">
        <f ca="1">IF($AM16&gt;0,OFFSET(Z16,0,ROUNDUP($AK16/4,0))*$AJ16,"")</f>
        <v>0</v>
      </c>
      <c r="BD16" s="116">
        <f ca="1">IF($AM16&gt;0,OFFSET(AA16,0,ROUNDUP($AK16/4,0))*$AJ16,"")</f>
        <v>0</v>
      </c>
      <c r="BE16" s="125">
        <f ca="1">IF($AM16&gt;0,OFFSET(AB16,0,ROUNDUP($AK16/4,0))*$AJ16,"")</f>
        <v>0</v>
      </c>
    </row>
    <row r="17" spans="1:57" x14ac:dyDescent="0.3">
      <c r="A17" s="81" t="s">
        <v>21</v>
      </c>
      <c r="B17" s="59">
        <v>0</v>
      </c>
      <c r="C17" s="59">
        <v>0</v>
      </c>
      <c r="D17" s="59">
        <v>0</v>
      </c>
      <c r="E17" s="80">
        <f t="shared" si="1"/>
        <v>0</v>
      </c>
      <c r="F17" s="69">
        <v>0</v>
      </c>
      <c r="G17" s="47">
        <v>0</v>
      </c>
      <c r="H17" s="61">
        <v>0</v>
      </c>
      <c r="I17" s="70">
        <v>12.88659793814433</v>
      </c>
      <c r="K17" s="98">
        <f t="shared" si="0"/>
        <v>0</v>
      </c>
      <c r="L17" s="98" t="s">
        <v>186</v>
      </c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31"/>
      <c r="AJ17" s="79"/>
      <c r="AK17" s="133"/>
      <c r="AM17" s="122" t="str">
        <f t="shared" si="4"/>
        <v/>
      </c>
      <c r="AN17" s="123" t="str">
        <f t="shared" ca="1" si="3"/>
        <v/>
      </c>
      <c r="AO17" s="123">
        <f t="shared" ca="1" si="5"/>
        <v>0</v>
      </c>
      <c r="AP17" s="77">
        <f ca="1">IF($AM17&gt;0,OFFSET(M17,0,ROUNDUP($AK17/4,0))*$AJ17,"")</f>
        <v>0</v>
      </c>
      <c r="AQ17" s="116">
        <f ca="1">IF($AM17&gt;0,OFFSET(N17,0,ROUNDUP($AK17/4,0))*$AJ17,"")</f>
        <v>0</v>
      </c>
      <c r="AR17" s="116">
        <f ca="1">IF($AM17&gt;0,OFFSET(O17,0,ROUNDUP($AK17/4,0))*$AJ17,"")</f>
        <v>0</v>
      </c>
      <c r="AS17" s="125">
        <f ca="1">IF($AM17&gt;0,OFFSET(P17,0,ROUNDUP($AK17/4,0))*$AJ17,"")</f>
        <v>0</v>
      </c>
      <c r="AT17" s="142">
        <f ca="1">IF($AM17&gt;0,OFFSET(Q17,0,ROUNDUP($AK17/4,0))*$AJ17,"")</f>
        <v>0</v>
      </c>
      <c r="AU17" s="116">
        <f ca="1">IF($AM17&gt;0,OFFSET(R17,0,ROUNDUP($AK17/4,0))*$AJ17,"")</f>
        <v>0</v>
      </c>
      <c r="AV17" s="116">
        <f ca="1">IF($AM17&gt;0,OFFSET(S17,0,ROUNDUP($AK17/4,0))*$AJ17,"")</f>
        <v>0</v>
      </c>
      <c r="AW17" s="116">
        <f ca="1">IF($AM17&gt;0,OFFSET(T17,0,ROUNDUP($AK17/4,0))*$AJ17,"")</f>
        <v>0</v>
      </c>
      <c r="AX17" s="116">
        <f ca="1">IF($AM17&gt;0,OFFSET(U17,0,ROUNDUP($AK17/4,0))*$AJ17,"")</f>
        <v>0</v>
      </c>
      <c r="AY17" s="116">
        <f ca="1">IF($AM17&gt;0,OFFSET(V17,0,ROUNDUP($AK17/4,0))*$AJ17,"")</f>
        <v>0</v>
      </c>
      <c r="AZ17" s="116">
        <f ca="1">IF($AM17&gt;0,OFFSET(W17,0,ROUNDUP($AK17/4,0))*$AJ17,"")</f>
        <v>0</v>
      </c>
      <c r="BA17" s="116">
        <f ca="1">IF($AM17&gt;0,OFFSET(X17,0,ROUNDUP($AK17/4,0))*$AJ17,"")</f>
        <v>0</v>
      </c>
      <c r="BB17" s="116">
        <f ca="1">IF($AM17&gt;0,OFFSET(Y17,0,ROUNDUP($AK17/4,0))*$AJ17,"")</f>
        <v>0</v>
      </c>
      <c r="BC17" s="116">
        <f ca="1">IF($AM17&gt;0,OFFSET(Z17,0,ROUNDUP($AK17/4,0))*$AJ17,"")</f>
        <v>0</v>
      </c>
      <c r="BD17" s="116">
        <f ca="1">IF($AM17&gt;0,OFFSET(AA17,0,ROUNDUP($AK17/4,0))*$AJ17,"")</f>
        <v>0</v>
      </c>
      <c r="BE17" s="125">
        <f ca="1">IF($AM17&gt;0,OFFSET(AB17,0,ROUNDUP($AK17/4,0))*$AJ17,"")</f>
        <v>0</v>
      </c>
    </row>
    <row r="18" spans="1:57" x14ac:dyDescent="0.3">
      <c r="A18" s="83" t="s">
        <v>3</v>
      </c>
      <c r="B18" s="59">
        <v>46</v>
      </c>
      <c r="C18" s="59">
        <v>35</v>
      </c>
      <c r="D18" s="59">
        <v>11</v>
      </c>
      <c r="E18" s="80">
        <f t="shared" si="1"/>
        <v>23</v>
      </c>
      <c r="F18" s="69">
        <v>39.14473684210526</v>
      </c>
      <c r="G18" s="47">
        <v>15</v>
      </c>
      <c r="H18" s="61">
        <v>15</v>
      </c>
      <c r="I18" s="70">
        <v>30</v>
      </c>
      <c r="J18" s="3" t="s">
        <v>175</v>
      </c>
      <c r="K18" s="98">
        <f t="shared" si="0"/>
        <v>16.5</v>
      </c>
      <c r="L18" s="98" t="s">
        <v>190</v>
      </c>
      <c r="Q18" s="117"/>
      <c r="R18" s="117"/>
      <c r="S18" s="117"/>
      <c r="T18" s="117"/>
      <c r="U18" s="117"/>
      <c r="V18" s="117"/>
      <c r="W18" s="117">
        <f>5.5</f>
        <v>5.5</v>
      </c>
      <c r="X18" s="117"/>
      <c r="Y18" s="117"/>
      <c r="Z18" s="117"/>
      <c r="AA18" s="117"/>
      <c r="AB18" s="117">
        <f>5.5*2</f>
        <v>11</v>
      </c>
      <c r="AC18" s="117"/>
      <c r="AD18" s="117"/>
      <c r="AE18" s="117"/>
      <c r="AF18" s="117"/>
      <c r="AG18" s="117"/>
      <c r="AH18" s="117"/>
      <c r="AI18" s="131"/>
      <c r="AJ18" s="79">
        <v>1.4</v>
      </c>
      <c r="AK18" s="133">
        <v>15</v>
      </c>
      <c r="AM18" s="122">
        <f t="shared" si="4"/>
        <v>23.099999999999998</v>
      </c>
      <c r="AN18" s="123">
        <f t="shared" ca="1" si="3"/>
        <v>23.099999999999998</v>
      </c>
      <c r="AO18" s="123">
        <f t="shared" ca="1" si="5"/>
        <v>23.099999999999998</v>
      </c>
      <c r="AP18" s="77">
        <f ca="1">IF($AM18&gt;0,OFFSET(M18,0,ROUNDUP($AK18/4,0))*$AJ18,"")</f>
        <v>0</v>
      </c>
      <c r="AQ18" s="116">
        <f ca="1">IF($AM18&gt;0,OFFSET(N18,0,ROUNDUP($AK18/4,0))*$AJ18,"")</f>
        <v>0</v>
      </c>
      <c r="AR18" s="116">
        <f ca="1">IF($AM18&gt;0,OFFSET(O18,0,ROUNDUP($AK18/4,0))*$AJ18,"")</f>
        <v>0</v>
      </c>
      <c r="AS18" s="125">
        <f ca="1">IF($AM18&gt;0,OFFSET(P18,0,ROUNDUP($AK18/4,0))*$AJ18,"")</f>
        <v>0</v>
      </c>
      <c r="AT18" s="142">
        <f ca="1">IF($AM18&gt;0,OFFSET(Q18,0,ROUNDUP($AK18/4,0))*$AJ18,"")</f>
        <v>0</v>
      </c>
      <c r="AU18" s="116">
        <f ca="1">IF($AM18&gt;0,OFFSET(R18,0,ROUNDUP($AK18/4,0))*$AJ18,"")</f>
        <v>0</v>
      </c>
      <c r="AV18" s="116">
        <f ca="1">IF($AM18&gt;0,OFFSET(S18,0,ROUNDUP($AK18/4,0))*$AJ18,"")</f>
        <v>7.6999999999999993</v>
      </c>
      <c r="AW18" s="116">
        <f ca="1">IF($AM18&gt;0,OFFSET(T18,0,ROUNDUP($AK18/4,0))*$AJ18,"")</f>
        <v>0</v>
      </c>
      <c r="AX18" s="116">
        <f ca="1">IF($AM18&gt;0,OFFSET(U18,0,ROUNDUP($AK18/4,0))*$AJ18,"")</f>
        <v>0</v>
      </c>
      <c r="AY18" s="116">
        <f ca="1">IF($AM18&gt;0,OFFSET(V18,0,ROUNDUP($AK18/4,0))*$AJ18,"")</f>
        <v>0</v>
      </c>
      <c r="AZ18" s="116">
        <f ca="1">IF($AM18&gt;0,OFFSET(W18,0,ROUNDUP($AK18/4,0))*$AJ18,"")</f>
        <v>0</v>
      </c>
      <c r="BA18" s="116">
        <f ca="1">IF($AM18&gt;0,OFFSET(X18,0,ROUNDUP($AK18/4,0))*$AJ18,"")</f>
        <v>15.399999999999999</v>
      </c>
      <c r="BB18" s="116">
        <f ca="1">IF($AM18&gt;0,OFFSET(Y18,0,ROUNDUP($AK18/4,0))*$AJ18,"")</f>
        <v>0</v>
      </c>
      <c r="BC18" s="116">
        <f ca="1">IF($AM18&gt;0,OFFSET(Z18,0,ROUNDUP($AK18/4,0))*$AJ18,"")</f>
        <v>0</v>
      </c>
      <c r="BD18" s="116">
        <f ca="1">IF($AM18&gt;0,OFFSET(AA18,0,ROUNDUP($AK18/4,0))*$AJ18,"")</f>
        <v>0</v>
      </c>
      <c r="BE18" s="125">
        <f ca="1">IF($AM18&gt;0,OFFSET(AB18,0,ROUNDUP($AK18/4,0))*$AJ18,"")</f>
        <v>0</v>
      </c>
    </row>
    <row r="19" spans="1:57" x14ac:dyDescent="0.3">
      <c r="A19" s="151" t="s">
        <v>32</v>
      </c>
      <c r="B19" s="59">
        <v>12</v>
      </c>
      <c r="C19" s="59">
        <v>50</v>
      </c>
      <c r="D19" s="59">
        <v>20</v>
      </c>
      <c r="E19" s="80">
        <f t="shared" si="1"/>
        <v>35</v>
      </c>
      <c r="F19" s="69">
        <v>17.740981667652274</v>
      </c>
      <c r="G19" s="47">
        <v>17.740981667652274</v>
      </c>
      <c r="H19" s="63">
        <v>18</v>
      </c>
      <c r="I19" s="70">
        <v>52.125564693617513</v>
      </c>
      <c r="K19" s="98">
        <f t="shared" si="0"/>
        <v>36</v>
      </c>
      <c r="L19" s="98" t="s">
        <v>190</v>
      </c>
      <c r="Q19" s="117"/>
      <c r="R19" s="117"/>
      <c r="S19" s="117"/>
      <c r="T19" s="117"/>
      <c r="U19" s="117"/>
      <c r="V19" s="117"/>
      <c r="W19" s="117"/>
      <c r="X19" s="117"/>
      <c r="Y19" s="117"/>
      <c r="Z19" s="117">
        <v>12</v>
      </c>
      <c r="AA19" s="117">
        <v>12</v>
      </c>
      <c r="AB19" s="117">
        <v>12</v>
      </c>
      <c r="AC19" s="117">
        <v>12</v>
      </c>
      <c r="AD19" s="117">
        <v>12</v>
      </c>
      <c r="AE19" s="117">
        <v>12</v>
      </c>
      <c r="AF19" s="117">
        <v>12</v>
      </c>
      <c r="AG19" s="117">
        <v>12</v>
      </c>
      <c r="AH19" s="117">
        <v>12</v>
      </c>
      <c r="AI19" s="131">
        <v>12</v>
      </c>
      <c r="AJ19" s="134">
        <v>1.1100000000000001</v>
      </c>
      <c r="AK19" s="133">
        <v>6</v>
      </c>
      <c r="AL19" s="164">
        <v>1</v>
      </c>
      <c r="AM19" s="122">
        <f>IF(AJ19&lt;&gt;"",SUM(Q19:AD19)*AJ19,"")</f>
        <v>66.600000000000009</v>
      </c>
      <c r="AN19" s="123">
        <f t="shared" ca="1" si="3"/>
        <v>66.599999999999994</v>
      </c>
      <c r="AO19" s="123">
        <f t="shared" ca="1" si="5"/>
        <v>66.599999999999994</v>
      </c>
      <c r="AP19" s="77">
        <f ca="1">IF($AM19&gt;0,OFFSET(M19,0,ROUNDUP($AK19/4,0))*$AJ19,"")</f>
        <v>0</v>
      </c>
      <c r="AQ19" s="116">
        <f ca="1">IF($AM19&gt;0,OFFSET(N19,0,ROUNDUP($AK19/4,0))*$AJ19,"")</f>
        <v>0</v>
      </c>
      <c r="AR19" s="116">
        <f ca="1">IF($AM19&gt;0,OFFSET(O19,0,ROUNDUP($AK19/4,0))*$AJ19,"")</f>
        <v>0</v>
      </c>
      <c r="AS19" s="125">
        <f ca="1">IF($AM19&gt;0,OFFSET(P19,0,ROUNDUP($AK19/4,0))*$AJ19,"")</f>
        <v>0</v>
      </c>
      <c r="AT19" s="142">
        <f ca="1">IF($AM19&gt;0,OFFSET(Q19,0,ROUNDUP($AK19/4,0))*$AJ19,"")</f>
        <v>0</v>
      </c>
      <c r="AU19" s="116">
        <f ca="1">IF($AM19&gt;0,OFFSET(R19,0,ROUNDUP($AK19/4,0))*$AJ19,"")</f>
        <v>0</v>
      </c>
      <c r="AV19" s="116">
        <f ca="1">IF($AM19&gt;0,OFFSET(S19,0,ROUNDUP($AK19/4,0))*$AJ19,"")</f>
        <v>0</v>
      </c>
      <c r="AW19" s="116">
        <f ca="1">IF($AM19&gt;0,OFFSET(T19,0,ROUNDUP($AK19/4,0))*$AJ19,"")</f>
        <v>0</v>
      </c>
      <c r="AX19" s="116">
        <f ca="1">IF($AM19&gt;0,OFFSET(U19,0,ROUNDUP($AK19/4,0))*$AJ19,"")</f>
        <v>0</v>
      </c>
      <c r="AY19" s="116">
        <f ca="1">IF($AM19&gt;0,OFFSET(V19,0,ROUNDUP($AK19/4,0))*$AJ19,"")</f>
        <v>0</v>
      </c>
      <c r="AZ19" s="116">
        <f ca="1">IF($AM19&gt;0,OFFSET(W19,0,ROUNDUP($AK19/4,0))*$AJ19,"")</f>
        <v>0</v>
      </c>
      <c r="BA19" s="116">
        <f ca="1">IF($AM19&gt;0,OFFSET(X19,0,ROUNDUP($AK19/4,0))*$AJ19,"")</f>
        <v>13.32</v>
      </c>
      <c r="BB19" s="116">
        <f ca="1">IF($AM19&gt;0,OFFSET(Y19,0,ROUNDUP($AK19/4,0))*$AJ19,"")</f>
        <v>13.32</v>
      </c>
      <c r="BC19" s="116">
        <f ca="1">IF($AM19&gt;0,OFFSET(Z19,0,ROUNDUP($AK19/4,0))*$AJ19,"")</f>
        <v>13.32</v>
      </c>
      <c r="BD19" s="116">
        <f ca="1">IF($AM19&gt;0,OFFSET(AA19,0,ROUNDUP($AK19/4,0))*$AJ19,"")</f>
        <v>13.32</v>
      </c>
      <c r="BE19" s="125">
        <f ca="1">IF($AM19&gt;0,OFFSET(AB19,0,ROUNDUP($AK19/4,0))*$AJ19,"")</f>
        <v>13.32</v>
      </c>
    </row>
    <row r="20" spans="1:57" x14ac:dyDescent="0.3">
      <c r="A20" s="151" t="s">
        <v>35</v>
      </c>
      <c r="B20" s="59">
        <v>6</v>
      </c>
      <c r="C20" s="59">
        <v>24.8</v>
      </c>
      <c r="D20" s="59">
        <v>13.8</v>
      </c>
      <c r="E20" s="80">
        <f t="shared" si="1"/>
        <v>19.3</v>
      </c>
      <c r="F20" s="69">
        <v>29.3317563571851</v>
      </c>
      <c r="G20" s="47">
        <v>29.3317563571851</v>
      </c>
      <c r="H20" s="61">
        <v>29</v>
      </c>
      <c r="I20" s="70">
        <v>28.958647052009731</v>
      </c>
      <c r="K20" s="98">
        <f t="shared" si="0"/>
        <v>18</v>
      </c>
      <c r="L20" s="98" t="s">
        <v>190</v>
      </c>
      <c r="Q20" s="117"/>
      <c r="R20" s="117"/>
      <c r="S20" s="117">
        <v>6</v>
      </c>
      <c r="T20" s="117"/>
      <c r="U20" s="117"/>
      <c r="V20" s="117"/>
      <c r="W20" s="117">
        <v>6</v>
      </c>
      <c r="X20" s="117"/>
      <c r="Y20" s="117"/>
      <c r="Z20" s="117"/>
      <c r="AA20" s="117">
        <v>6</v>
      </c>
      <c r="AB20" s="117"/>
      <c r="AC20" s="117"/>
      <c r="AD20" s="117"/>
      <c r="AE20" s="117">
        <v>6</v>
      </c>
      <c r="AF20" s="117"/>
      <c r="AG20" s="117"/>
      <c r="AH20" s="117"/>
      <c r="AI20" s="131">
        <v>6</v>
      </c>
      <c r="AJ20" s="134">
        <v>1.1100000000000001</v>
      </c>
      <c r="AK20" s="133">
        <v>6</v>
      </c>
      <c r="AL20" s="164">
        <v>1</v>
      </c>
      <c r="AM20" s="122">
        <f>IF(AJ20&lt;&gt;"",SUM(Q20:AD20)*AJ20,"")</f>
        <v>19.98</v>
      </c>
      <c r="AN20" s="123">
        <f t="shared" ca="1" si="3"/>
        <v>19.98</v>
      </c>
      <c r="AO20" s="123">
        <f t="shared" ca="1" si="5"/>
        <v>19.98</v>
      </c>
      <c r="AP20" s="77">
        <f ca="1">IF($AM20&gt;0,OFFSET(M20,0,ROUNDUP($AK20/4,0))*$AJ20,"")</f>
        <v>0</v>
      </c>
      <c r="AQ20" s="116">
        <f ca="1">IF($AM20&gt;0,OFFSET(N20,0,ROUNDUP($AK20/4,0))*$AJ20,"")</f>
        <v>0</v>
      </c>
      <c r="AR20" s="116">
        <f ca="1">IF($AM20&gt;0,OFFSET(O20,0,ROUNDUP($AK20/4,0))*$AJ20,"")</f>
        <v>0</v>
      </c>
      <c r="AS20" s="125">
        <f ca="1">IF($AM20&gt;0,OFFSET(P20,0,ROUNDUP($AK20/4,0))*$AJ20,"")</f>
        <v>0</v>
      </c>
      <c r="AT20" s="142">
        <f ca="1">IF($AM20&gt;0,OFFSET(Q20,0,ROUNDUP($AK20/4,0))*$AJ20,"")</f>
        <v>6.66</v>
      </c>
      <c r="AU20" s="116">
        <f ca="1">IF($AM20&gt;0,OFFSET(R20,0,ROUNDUP($AK20/4,0))*$AJ20,"")</f>
        <v>0</v>
      </c>
      <c r="AV20" s="116">
        <f ca="1">IF($AM20&gt;0,OFFSET(S20,0,ROUNDUP($AK20/4,0))*$AJ20,"")</f>
        <v>0</v>
      </c>
      <c r="AW20" s="116">
        <f ca="1">IF($AM20&gt;0,OFFSET(T20,0,ROUNDUP($AK20/4,0))*$AJ20,"")</f>
        <v>0</v>
      </c>
      <c r="AX20" s="116">
        <f ca="1">IF($AM20&gt;0,OFFSET(U20,0,ROUNDUP($AK20/4,0))*$AJ20,"")</f>
        <v>6.66</v>
      </c>
      <c r="AY20" s="116">
        <f ca="1">IF($AM20&gt;0,OFFSET(V20,0,ROUNDUP($AK20/4,0))*$AJ20,"")</f>
        <v>0</v>
      </c>
      <c r="AZ20" s="116">
        <f ca="1">IF($AM20&gt;0,OFFSET(W20,0,ROUNDUP($AK20/4,0))*$AJ20,"")</f>
        <v>0</v>
      </c>
      <c r="BA20" s="116">
        <f ca="1">IF($AM20&gt;0,OFFSET(X20,0,ROUNDUP($AK20/4,0))*$AJ20,"")</f>
        <v>0</v>
      </c>
      <c r="BB20" s="116">
        <f ca="1">IF($AM20&gt;0,OFFSET(Y20,0,ROUNDUP($AK20/4,0))*$AJ20,"")</f>
        <v>6.66</v>
      </c>
      <c r="BC20" s="116">
        <f ca="1">IF($AM20&gt;0,OFFSET(Z20,0,ROUNDUP($AK20/4,0))*$AJ20,"")</f>
        <v>0</v>
      </c>
      <c r="BD20" s="116">
        <f ca="1">IF($AM20&gt;0,OFFSET(AA20,0,ROUNDUP($AK20/4,0))*$AJ20,"")</f>
        <v>0</v>
      </c>
      <c r="BE20" s="125">
        <f ca="1">IF($AM20&gt;0,OFFSET(AB20,0,ROUNDUP($AK20/4,0))*$AJ20,"")</f>
        <v>0</v>
      </c>
    </row>
    <row r="21" spans="1:57" x14ac:dyDescent="0.3">
      <c r="A21" s="150" t="s">
        <v>33</v>
      </c>
      <c r="B21" s="59">
        <v>6</v>
      </c>
      <c r="C21" s="94">
        <v>89.600000000000009</v>
      </c>
      <c r="D21" s="59">
        <v>10.856000000000002</v>
      </c>
      <c r="E21" s="80">
        <f t="shared" si="1"/>
        <v>50.228000000000009</v>
      </c>
      <c r="F21" s="69">
        <v>95.375517445298655</v>
      </c>
      <c r="G21" s="47">
        <v>14</v>
      </c>
      <c r="H21" s="102">
        <f>65+15</f>
        <v>80</v>
      </c>
      <c r="I21" s="70">
        <v>93.826016448511524</v>
      </c>
      <c r="J21" s="3" t="s">
        <v>176</v>
      </c>
      <c r="K21" s="98">
        <f t="shared" si="0"/>
        <v>66</v>
      </c>
      <c r="L21" s="98" t="s">
        <v>190</v>
      </c>
      <c r="Q21" s="117">
        <v>6</v>
      </c>
      <c r="R21" s="117">
        <v>6</v>
      </c>
      <c r="S21" s="117">
        <v>6</v>
      </c>
      <c r="T21" s="117">
        <v>6</v>
      </c>
      <c r="U21" s="117">
        <v>6</v>
      </c>
      <c r="V21" s="117">
        <v>6</v>
      </c>
      <c r="W21" s="117"/>
      <c r="X21" s="117">
        <v>6</v>
      </c>
      <c r="Y21" s="117">
        <v>6</v>
      </c>
      <c r="Z21" s="117">
        <v>6</v>
      </c>
      <c r="AA21" s="117">
        <v>6</v>
      </c>
      <c r="AB21" s="117">
        <v>6</v>
      </c>
      <c r="AC21" s="117">
        <v>6</v>
      </c>
      <c r="AD21" s="117">
        <v>6</v>
      </c>
      <c r="AE21" s="117">
        <v>6</v>
      </c>
      <c r="AF21" s="117">
        <v>6</v>
      </c>
      <c r="AG21" s="117">
        <v>6</v>
      </c>
      <c r="AH21" s="117">
        <v>6</v>
      </c>
      <c r="AI21" s="131">
        <v>6</v>
      </c>
      <c r="AJ21" s="134">
        <v>1.1100000000000001</v>
      </c>
      <c r="AK21" s="133">
        <v>6</v>
      </c>
      <c r="AM21" s="122">
        <f>IF(AJ21&lt;&gt;"",SUM(Q21:AD21)*AJ21,"")</f>
        <v>86.580000000000013</v>
      </c>
      <c r="AN21" s="123">
        <f t="shared" ca="1" si="3"/>
        <v>86.57999999999997</v>
      </c>
      <c r="AO21" s="123">
        <f t="shared" ca="1" si="5"/>
        <v>73.259999999999977</v>
      </c>
      <c r="AP21" s="77">
        <f ca="1">IF($AM21&gt;0,OFFSET(M21,0,ROUNDUP($AK21/4,0))*$AJ21,"")</f>
        <v>0</v>
      </c>
      <c r="AQ21" s="116">
        <f ca="1">IF($AM21&gt;0,OFFSET(N21,0,ROUNDUP($AK21/4,0))*$AJ21,"")</f>
        <v>0</v>
      </c>
      <c r="AR21" s="152">
        <f ca="1">IF($AM21&gt;0,OFFSET(O21,0,ROUNDUP($AK21/4,0))*$AJ21,"")</f>
        <v>6.66</v>
      </c>
      <c r="AS21" s="168">
        <f ca="1">IF($AM21&gt;0,OFFSET(P21,0,ROUNDUP($AK21/4,0))*$AJ21,"")</f>
        <v>6.66</v>
      </c>
      <c r="AT21" s="142">
        <f ca="1">IF($AM21&gt;0,OFFSET(Q21,0,ROUNDUP($AK21/4,0))*$AJ21,"")</f>
        <v>6.66</v>
      </c>
      <c r="AU21" s="116">
        <f ca="1">IF($AM21&gt;0,OFFSET(R21,0,ROUNDUP($AK21/4,0))*$AJ21,"")</f>
        <v>6.66</v>
      </c>
      <c r="AV21" s="116">
        <f ca="1">IF($AM21&gt;0,OFFSET(S21,0,ROUNDUP($AK21/4,0))*$AJ21,"")</f>
        <v>6.66</v>
      </c>
      <c r="AW21" s="116">
        <f ca="1">IF($AM21&gt;0,OFFSET(T21,0,ROUNDUP($AK21/4,0))*$AJ21,"")</f>
        <v>6.66</v>
      </c>
      <c r="AX21" s="116">
        <f ca="1">IF($AM21&gt;0,OFFSET(U21,0,ROUNDUP($AK21/4,0))*$AJ21,"")</f>
        <v>0</v>
      </c>
      <c r="AY21" s="116">
        <f ca="1">IF($AM21&gt;0,OFFSET(V21,0,ROUNDUP($AK21/4,0))*$AJ21,"")</f>
        <v>6.66</v>
      </c>
      <c r="AZ21" s="116">
        <f ca="1">IF($AM21&gt;0,OFFSET(W21,0,ROUNDUP($AK21/4,0))*$AJ21,"")</f>
        <v>6.66</v>
      </c>
      <c r="BA21" s="116">
        <f ca="1">IF($AM21&gt;0,OFFSET(X21,0,ROUNDUP($AK21/4,0))*$AJ21,"")</f>
        <v>6.66</v>
      </c>
      <c r="BB21" s="116">
        <f ca="1">IF($AM21&gt;0,OFFSET(Y21,0,ROUNDUP($AK21/4,0))*$AJ21,"")</f>
        <v>6.66</v>
      </c>
      <c r="BC21" s="116">
        <f ca="1">IF($AM21&gt;0,OFFSET(Z21,0,ROUNDUP($AK21/4,0))*$AJ21,"")</f>
        <v>6.66</v>
      </c>
      <c r="BD21" s="116">
        <f ca="1">IF($AM21&gt;0,OFFSET(AA21,0,ROUNDUP($AK21/4,0))*$AJ21,"")</f>
        <v>6.66</v>
      </c>
      <c r="BE21" s="125">
        <f ca="1">IF($AM21&gt;0,OFFSET(AB21,0,ROUNDUP($AK21/4,0))*$AJ21,"")</f>
        <v>6.66</v>
      </c>
    </row>
    <row r="22" spans="1:57" x14ac:dyDescent="0.3">
      <c r="A22" s="151" t="s">
        <v>34</v>
      </c>
      <c r="B22" s="59">
        <v>13</v>
      </c>
      <c r="C22" s="59">
        <v>13</v>
      </c>
      <c r="D22" s="59">
        <v>13</v>
      </c>
      <c r="E22" s="80">
        <f t="shared" si="1"/>
        <v>13</v>
      </c>
      <c r="F22" s="69">
        <f>15-15</f>
        <v>0</v>
      </c>
      <c r="G22" s="69">
        <f>15-15</f>
        <v>0</v>
      </c>
      <c r="H22" s="102">
        <f>15-15</f>
        <v>0</v>
      </c>
      <c r="I22" s="70">
        <v>0</v>
      </c>
      <c r="K22" s="98">
        <f t="shared" si="0"/>
        <v>0</v>
      </c>
      <c r="L22" s="98" t="s">
        <v>186</v>
      </c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31"/>
      <c r="AJ22" s="79"/>
      <c r="AK22" s="133"/>
      <c r="AM22" s="122" t="str">
        <f t="shared" si="4"/>
        <v/>
      </c>
      <c r="AN22" s="123" t="str">
        <f t="shared" ca="1" si="3"/>
        <v/>
      </c>
      <c r="AO22" s="123">
        <f t="shared" ca="1" si="5"/>
        <v>0</v>
      </c>
      <c r="AP22" s="77">
        <f ca="1">IF($AM22&gt;0,OFFSET(M22,0,ROUNDUP($AK22/4,0))*$AJ22,"")</f>
        <v>0</v>
      </c>
      <c r="AQ22" s="116">
        <f ca="1">IF($AM22&gt;0,OFFSET(N22,0,ROUNDUP($AK22/4,0))*$AJ22,"")</f>
        <v>0</v>
      </c>
      <c r="AR22" s="116">
        <f ca="1">IF($AM22&gt;0,OFFSET(O22,0,ROUNDUP($AK22/4,0))*$AJ22,"")</f>
        <v>0</v>
      </c>
      <c r="AS22" s="125">
        <f ca="1">IF($AM22&gt;0,OFFSET(P22,0,ROUNDUP($AK22/4,0))*$AJ22,"")</f>
        <v>0</v>
      </c>
      <c r="AT22" s="142">
        <f ca="1">IF($AM22&gt;0,OFFSET(Q22,0,ROUNDUP($AK22/4,0))*$AJ22,"")</f>
        <v>0</v>
      </c>
      <c r="AU22" s="116">
        <f ca="1">IF($AM22&gt;0,OFFSET(R22,0,ROUNDUP($AK22/4,0))*$AJ22,"")</f>
        <v>0</v>
      </c>
      <c r="AV22" s="116">
        <f ca="1">IF($AM22&gt;0,OFFSET(S22,0,ROUNDUP($AK22/4,0))*$AJ22,"")</f>
        <v>0</v>
      </c>
      <c r="AW22" s="116">
        <f ca="1">IF($AM22&gt;0,OFFSET(T22,0,ROUNDUP($AK22/4,0))*$AJ22,"")</f>
        <v>0</v>
      </c>
      <c r="AX22" s="116">
        <f ca="1">IF($AM22&gt;0,OFFSET(U22,0,ROUNDUP($AK22/4,0))*$AJ22,"")</f>
        <v>0</v>
      </c>
      <c r="AY22" s="116">
        <f ca="1">IF($AM22&gt;0,OFFSET(V22,0,ROUNDUP($AK22/4,0))*$AJ22,"")</f>
        <v>0</v>
      </c>
      <c r="AZ22" s="116">
        <f ca="1">IF($AM22&gt;0,OFFSET(W22,0,ROUNDUP($AK22/4,0))*$AJ22,"")</f>
        <v>0</v>
      </c>
      <c r="BA22" s="116">
        <f ca="1">IF($AM22&gt;0,OFFSET(X22,0,ROUNDUP($AK22/4,0))*$AJ22,"")</f>
        <v>0</v>
      </c>
      <c r="BB22" s="116">
        <f ca="1">IF($AM22&gt;0,OFFSET(Y22,0,ROUNDUP($AK22/4,0))*$AJ22,"")</f>
        <v>0</v>
      </c>
      <c r="BC22" s="116">
        <f ca="1">IF($AM22&gt;0,OFFSET(Z22,0,ROUNDUP($AK22/4,0))*$AJ22,"")</f>
        <v>0</v>
      </c>
      <c r="BD22" s="116">
        <f ca="1">IF($AM22&gt;0,OFFSET(AA22,0,ROUNDUP($AK22/4,0))*$AJ22,"")</f>
        <v>0</v>
      </c>
      <c r="BE22" s="125">
        <f ca="1">IF($AM22&gt;0,OFFSET(AB22,0,ROUNDUP($AK22/4,0))*$AJ22,"")</f>
        <v>0</v>
      </c>
    </row>
    <row r="23" spans="1:57" x14ac:dyDescent="0.3">
      <c r="A23" s="151" t="s">
        <v>107</v>
      </c>
      <c r="B23" s="59">
        <v>0</v>
      </c>
      <c r="C23" s="59">
        <v>15</v>
      </c>
      <c r="D23" s="59">
        <v>15</v>
      </c>
      <c r="E23" s="80">
        <f t="shared" si="1"/>
        <v>15</v>
      </c>
      <c r="F23" s="95">
        <v>21</v>
      </c>
      <c r="G23" s="96">
        <v>21</v>
      </c>
      <c r="H23" s="61">
        <v>21</v>
      </c>
      <c r="I23" s="70">
        <v>64.432989690721655</v>
      </c>
      <c r="J23" s="3" t="s">
        <v>177</v>
      </c>
      <c r="K23" s="98">
        <f t="shared" si="0"/>
        <v>15</v>
      </c>
      <c r="L23" s="98" t="s">
        <v>190</v>
      </c>
      <c r="Q23" s="117"/>
      <c r="R23" s="117"/>
      <c r="S23" s="117"/>
      <c r="T23" s="117"/>
      <c r="U23" s="117"/>
      <c r="V23" s="117"/>
      <c r="W23" s="117"/>
      <c r="X23" s="117"/>
      <c r="Y23" s="117"/>
      <c r="Z23" s="117">
        <v>5</v>
      </c>
      <c r="AA23" s="117">
        <v>5</v>
      </c>
      <c r="AB23" s="117">
        <v>5</v>
      </c>
      <c r="AC23" s="117"/>
      <c r="AD23" s="117">
        <v>5</v>
      </c>
      <c r="AE23" s="117">
        <v>5</v>
      </c>
      <c r="AF23" s="117">
        <v>5</v>
      </c>
      <c r="AG23" s="117">
        <f>AF23</f>
        <v>5</v>
      </c>
      <c r="AH23" s="117">
        <f>AG23</f>
        <v>5</v>
      </c>
      <c r="AI23" s="131">
        <v>5</v>
      </c>
      <c r="AJ23" s="134">
        <v>1.3</v>
      </c>
      <c r="AK23" s="133">
        <v>10</v>
      </c>
      <c r="AM23" s="122">
        <f>IF(AJ23&lt;&gt;"",SUM(Q23:AE23)*AJ23,"")</f>
        <v>32.5</v>
      </c>
      <c r="AN23" s="123">
        <f t="shared" ca="1" si="3"/>
        <v>32.5</v>
      </c>
      <c r="AO23" s="123">
        <f t="shared" ca="1" si="5"/>
        <v>32.5</v>
      </c>
      <c r="AP23" s="77">
        <f ca="1">IF($AM23&gt;0,OFFSET(M23,0,ROUNDUP($AK23/4,0))*$AJ23,"")</f>
        <v>0</v>
      </c>
      <c r="AQ23" s="116">
        <f ca="1">IF($AM23&gt;0,OFFSET(N23,0,ROUNDUP($AK23/4,0))*$AJ23,"")</f>
        <v>0</v>
      </c>
      <c r="AR23" s="116">
        <f ca="1">IF($AM23&gt;0,OFFSET(O23,0,ROUNDUP($AK23/4,0))*$AJ23,"")</f>
        <v>0</v>
      </c>
      <c r="AS23" s="125">
        <f ca="1">IF($AM23&gt;0,OFFSET(P23,0,ROUNDUP($AK23/4,0))*$AJ23,"")</f>
        <v>0</v>
      </c>
      <c r="AT23" s="142">
        <f ca="1">IF($AM23&gt;0,OFFSET(Q23,0,ROUNDUP($AK23/4,0))*$AJ23,"")</f>
        <v>0</v>
      </c>
      <c r="AU23" s="116">
        <f ca="1">IF($AM23&gt;0,OFFSET(R23,0,ROUNDUP($AK23/4,0))*$AJ23,"")</f>
        <v>0</v>
      </c>
      <c r="AV23" s="116">
        <f ca="1">IF($AM23&gt;0,OFFSET(S23,0,ROUNDUP($AK23/4,0))*$AJ23,"")</f>
        <v>0</v>
      </c>
      <c r="AW23" s="116">
        <f ca="1">IF($AM23&gt;0,OFFSET(T23,0,ROUNDUP($AK23/4,0))*$AJ23,"")</f>
        <v>0</v>
      </c>
      <c r="AX23" s="116">
        <f ca="1">IF($AM23&gt;0,OFFSET(U23,0,ROUNDUP($AK23/4,0))*$AJ23,"")</f>
        <v>0</v>
      </c>
      <c r="AY23" s="116">
        <f ca="1">IF($AM23&gt;0,OFFSET(V23,0,ROUNDUP($AK23/4,0))*$AJ23,"")</f>
        <v>0</v>
      </c>
      <c r="AZ23" s="116">
        <f ca="1">IF($AM23&gt;0,OFFSET(W23,0,ROUNDUP($AK23/4,0))*$AJ23,"")</f>
        <v>6.5</v>
      </c>
      <c r="BA23" s="116">
        <f ca="1">IF($AM23&gt;0,OFFSET(X23,0,ROUNDUP($AK23/4,0))*$AJ23,"")</f>
        <v>6.5</v>
      </c>
      <c r="BB23" s="116">
        <f ca="1">IF($AM23&gt;0,OFFSET(Y23,0,ROUNDUP($AK23/4,0))*$AJ23,"")</f>
        <v>6.5</v>
      </c>
      <c r="BC23" s="116">
        <f ca="1">IF($AM23&gt;0,OFFSET(Z23,0,ROUNDUP($AK23/4,0))*$AJ23,"")</f>
        <v>0</v>
      </c>
      <c r="BD23" s="116">
        <f ca="1">IF($AM23&gt;0,OFFSET(AA23,0,ROUNDUP($AK23/4,0))*$AJ23,"")</f>
        <v>6.5</v>
      </c>
      <c r="BE23" s="125">
        <f ca="1">IF($AM23&gt;0,OFFSET(AB23,0,ROUNDUP($AK23/4,0))*$AJ23,"")</f>
        <v>6.5</v>
      </c>
    </row>
    <row r="24" spans="1:57" x14ac:dyDescent="0.3">
      <c r="A24" s="151" t="s">
        <v>13</v>
      </c>
      <c r="B24" s="59">
        <v>56</v>
      </c>
      <c r="C24" s="59">
        <v>150</v>
      </c>
      <c r="D24" s="59">
        <v>100</v>
      </c>
      <c r="E24" s="80">
        <f t="shared" si="1"/>
        <v>125</v>
      </c>
      <c r="F24" s="69">
        <v>157.89473684210526</v>
      </c>
      <c r="G24" s="47">
        <v>105</v>
      </c>
      <c r="H24" s="61">
        <v>131</v>
      </c>
      <c r="I24" s="70">
        <v>154.63917525773195</v>
      </c>
      <c r="J24" s="3" t="s">
        <v>178</v>
      </c>
      <c r="K24" s="98">
        <f t="shared" si="0"/>
        <v>123</v>
      </c>
      <c r="L24" s="98" t="s">
        <v>190</v>
      </c>
      <c r="Q24" s="117"/>
      <c r="R24" s="117">
        <f>2*7.25</f>
        <v>14.5</v>
      </c>
      <c r="S24" s="117">
        <v>7.25</v>
      </c>
      <c r="T24" s="117">
        <f>2*7.25</f>
        <v>14.5</v>
      </c>
      <c r="U24" s="117">
        <v>7.25</v>
      </c>
      <c r="V24" s="117">
        <f>2*7.25</f>
        <v>14.5</v>
      </c>
      <c r="W24" s="117">
        <v>7.25</v>
      </c>
      <c r="X24" s="117">
        <f>2*7.25</f>
        <v>14.5</v>
      </c>
      <c r="Y24" s="117">
        <v>7.25</v>
      </c>
      <c r="Z24" s="117">
        <f>2*7.25</f>
        <v>14.5</v>
      </c>
      <c r="AA24" s="117">
        <v>7.25</v>
      </c>
      <c r="AB24" s="117">
        <v>14.25</v>
      </c>
      <c r="AC24" s="117">
        <v>7.25</v>
      </c>
      <c r="AD24" s="117">
        <v>14.25</v>
      </c>
      <c r="AE24" s="117">
        <v>7.25</v>
      </c>
      <c r="AF24" s="117">
        <v>14.25</v>
      </c>
      <c r="AG24" s="117">
        <v>7.25</v>
      </c>
      <c r="AH24" s="117">
        <v>14.25</v>
      </c>
      <c r="AI24" s="131">
        <v>7.25</v>
      </c>
      <c r="AJ24" s="134">
        <v>1</v>
      </c>
      <c r="AK24" s="135">
        <v>2</v>
      </c>
      <c r="AL24" s="106">
        <v>1</v>
      </c>
      <c r="AM24" s="122">
        <f>IF(AJ24&lt;&gt;"",SUM(Q24:AC24)*AJ24,"")</f>
        <v>130.25</v>
      </c>
      <c r="AN24" s="123">
        <f t="shared" ca="1" si="3"/>
        <v>130.25</v>
      </c>
      <c r="AO24" s="123">
        <f t="shared" ca="1" si="5"/>
        <v>130.25</v>
      </c>
      <c r="AP24" s="77">
        <f ca="1">IF($AM24&gt;0,OFFSET(M24,0,ROUNDUP($AK24/4,0))*$AJ24,"")</f>
        <v>0</v>
      </c>
      <c r="AQ24" s="116">
        <f ca="1">IF($AM24&gt;0,OFFSET(N24,0,ROUNDUP($AK24/4,0))*$AJ24,"")</f>
        <v>0</v>
      </c>
      <c r="AR24" s="116">
        <f ca="1">IF($AM24&gt;0,OFFSET(O24,0,ROUNDUP($AK24/4,0))*$AJ24,"")</f>
        <v>0</v>
      </c>
      <c r="AS24" s="125">
        <f ca="1">IF($AM24&gt;0,OFFSET(P24,0,ROUNDUP($AK24/4,0))*$AJ24,"")</f>
        <v>0</v>
      </c>
      <c r="AT24" s="142">
        <f ca="1">IF($AM24&gt;0,OFFSET(Q24,0,ROUNDUP($AK24/4,0))*$AJ24,"")</f>
        <v>14.5</v>
      </c>
      <c r="AU24" s="116">
        <f ca="1">IF($AM24&gt;0,OFFSET(R24,0,ROUNDUP($AK24/4,0))*$AJ24,"")</f>
        <v>7.25</v>
      </c>
      <c r="AV24" s="116">
        <f ca="1">IF($AM24&gt;0,OFFSET(S24,0,ROUNDUP($AK24/4,0))*$AJ24,"")</f>
        <v>14.5</v>
      </c>
      <c r="AW24" s="116">
        <f ca="1">IF($AM24&gt;0,OFFSET(T24,0,ROUNDUP($AK24/4,0))*$AJ24,"")</f>
        <v>7.25</v>
      </c>
      <c r="AX24" s="116">
        <f ca="1">IF($AM24&gt;0,OFFSET(U24,0,ROUNDUP($AK24/4,0))*$AJ24,"")</f>
        <v>14.5</v>
      </c>
      <c r="AY24" s="116">
        <f ca="1">IF($AM24&gt;0,OFFSET(V24,0,ROUNDUP($AK24/4,0))*$AJ24,"")</f>
        <v>7.25</v>
      </c>
      <c r="AZ24" s="116">
        <f ca="1">IF($AM24&gt;0,OFFSET(W24,0,ROUNDUP($AK24/4,0))*$AJ24,"")</f>
        <v>14.5</v>
      </c>
      <c r="BA24" s="116">
        <f ca="1">IF($AM24&gt;0,OFFSET(X24,0,ROUNDUP($AK24/4,0))*$AJ24,"")</f>
        <v>7.25</v>
      </c>
      <c r="BB24" s="116">
        <f ca="1">IF($AM24&gt;0,OFFSET(Y24,0,ROUNDUP($AK24/4,0))*$AJ24,"")</f>
        <v>14.5</v>
      </c>
      <c r="BC24" s="116">
        <f ca="1">IF($AM24&gt;0,OFFSET(Z24,0,ROUNDUP($AK24/4,0))*$AJ24,"")</f>
        <v>7.25</v>
      </c>
      <c r="BD24" s="116">
        <f ca="1">IF($AM24&gt;0,OFFSET(AA24,0,ROUNDUP($AK24/4,0))*$AJ24,"")</f>
        <v>14.25</v>
      </c>
      <c r="BE24" s="125">
        <f ca="1">IF($AM24&gt;0,OFFSET(AB24,0,ROUNDUP($AK24/4,0))*$AJ24,"")</f>
        <v>7.25</v>
      </c>
    </row>
    <row r="25" spans="1:57" x14ac:dyDescent="0.3">
      <c r="A25" s="81" t="s">
        <v>17</v>
      </c>
      <c r="B25" s="59">
        <v>20</v>
      </c>
      <c r="C25" s="59">
        <v>40</v>
      </c>
      <c r="D25" s="59">
        <v>40</v>
      </c>
      <c r="E25" s="80">
        <f t="shared" si="1"/>
        <v>40</v>
      </c>
      <c r="F25" s="69">
        <v>52.631578947368425</v>
      </c>
      <c r="G25" s="47">
        <v>52.631578947368425</v>
      </c>
      <c r="H25" s="61">
        <v>53</v>
      </c>
      <c r="I25" s="70">
        <v>64.432989690721655</v>
      </c>
      <c r="K25" s="98">
        <f t="shared" si="0"/>
        <v>40</v>
      </c>
      <c r="L25" s="98" t="s">
        <v>190</v>
      </c>
      <c r="Q25" s="117">
        <v>5</v>
      </c>
      <c r="R25" s="117">
        <v>5</v>
      </c>
      <c r="S25" s="117">
        <v>5</v>
      </c>
      <c r="T25" s="117">
        <v>5</v>
      </c>
      <c r="U25" s="117"/>
      <c r="V25" s="117"/>
      <c r="W25" s="117">
        <v>5</v>
      </c>
      <c r="X25" s="117"/>
      <c r="Y25" s="117">
        <v>5</v>
      </c>
      <c r="Z25" s="117">
        <v>5</v>
      </c>
      <c r="AA25" s="117">
        <v>5</v>
      </c>
      <c r="AB25" s="117"/>
      <c r="AC25" s="117">
        <f>5</f>
        <v>5</v>
      </c>
      <c r="AD25" s="117">
        <f>AC25</f>
        <v>5</v>
      </c>
      <c r="AE25" s="117">
        <f>AD25</f>
        <v>5</v>
      </c>
      <c r="AF25" s="117">
        <v>5</v>
      </c>
      <c r="AG25" s="117">
        <f>AF25</f>
        <v>5</v>
      </c>
      <c r="AH25" s="117">
        <v>5</v>
      </c>
      <c r="AI25" s="131">
        <v>5</v>
      </c>
      <c r="AJ25" s="134">
        <v>1.3</v>
      </c>
      <c r="AK25" s="135">
        <v>15</v>
      </c>
      <c r="AL25" s="106">
        <v>1</v>
      </c>
      <c r="AM25" s="122">
        <f>IF(AJ25&lt;&gt;"",SUM(Q25:AF25)*AJ25,"")</f>
        <v>78</v>
      </c>
      <c r="AN25" s="123">
        <f ca="1">IF(SUM(AP25:BE25)&gt;0,SUM(AP25:BE25),"")</f>
        <v>52</v>
      </c>
      <c r="AO25" s="123">
        <f t="shared" ca="1" si="5"/>
        <v>45.5</v>
      </c>
      <c r="AP25" s="158">
        <f ca="1">IF($AM25&gt;0,OFFSET(M25,0,ROUNDUP($AK25/4,0))*$AJ25,"")-1*6.5</f>
        <v>0</v>
      </c>
      <c r="AQ25" s="159">
        <f ca="1">IF($AM25&gt;0,OFFSET(N25,0,ROUNDUP($AK25/4,0))*$AJ25,"")-1*6.5</f>
        <v>0</v>
      </c>
      <c r="AR25" s="152">
        <f ca="1">IF($AM25&gt;0,OFFSET(O25,0,ROUNDUP($AK25/4,0))*$AJ25,"")-0*6.5</f>
        <v>6.5</v>
      </c>
      <c r="AS25" s="171">
        <f ca="1">IF($AM25&gt;0,OFFSET(P25,0,ROUNDUP($AK25/4,0))*$AJ25,"")-1*6.5</f>
        <v>0</v>
      </c>
      <c r="AT25" s="142">
        <f ca="1">IF($AM25&gt;0,OFFSET(Q25,0,ROUNDUP($AK25/4,0))*$AJ25,"")</f>
        <v>0</v>
      </c>
      <c r="AU25" s="116">
        <f ca="1">IF($AM25&gt;0,OFFSET(R25,0,ROUNDUP($AK25/4,0))*$AJ25,"")</f>
        <v>0</v>
      </c>
      <c r="AV25" s="116">
        <f ca="1">IF($AM25&gt;0,OFFSET(S25,0,ROUNDUP($AK25/4,0))*$AJ25,"")</f>
        <v>6.5</v>
      </c>
      <c r="AW25" s="116">
        <f ca="1">IF($AM25&gt;0,OFFSET(T25,0,ROUNDUP($AK25/4,0))*$AJ25,"")</f>
        <v>0</v>
      </c>
      <c r="AX25" s="172">
        <f ca="1">IF($AM25&gt;0,OFFSET(U25,0,ROUNDUP($AK25/4,0))*$AJ25,"")-1*6.5</f>
        <v>0</v>
      </c>
      <c r="AY25" s="116">
        <f ca="1">IF($AM25&gt;0,OFFSET(V25,0,ROUNDUP($AK25/4,0))*$AJ25,"")</f>
        <v>6.5</v>
      </c>
      <c r="AZ25" s="116">
        <f ca="1">IF($AM25&gt;0,OFFSET(W25,0,ROUNDUP($AK25/4,0))*$AJ25,"")</f>
        <v>6.5</v>
      </c>
      <c r="BA25" s="116">
        <f ca="1">IF($AM25&gt;0,OFFSET(X25,0,ROUNDUP($AK25/4,0))*$AJ25,"")</f>
        <v>0</v>
      </c>
      <c r="BB25" s="116">
        <f ca="1">IF($AM25&gt;0,OFFSET(Y25,0,ROUNDUP($AK25/4,0))*$AJ25,"")</f>
        <v>6.5</v>
      </c>
      <c r="BC25" s="116">
        <f ca="1">IF($AM25&gt;0,OFFSET(Z25,0,ROUNDUP($AK25/4,0))*$AJ25,"")</f>
        <v>6.5</v>
      </c>
      <c r="BD25" s="116">
        <f ca="1">IF($AM25&gt;0,OFFSET(AA25,0,ROUNDUP($AK25/4,0))*$AJ25,"")</f>
        <v>6.5</v>
      </c>
      <c r="BE25" s="125">
        <f ca="1">IF($AM25&gt;0,OFFSET(AB25,0,ROUNDUP($AK25/4,0))*$AJ25,"")</f>
        <v>6.5</v>
      </c>
    </row>
    <row r="26" spans="1:57" x14ac:dyDescent="0.3">
      <c r="A26" s="81" t="s">
        <v>27</v>
      </c>
      <c r="B26" s="59">
        <v>5</v>
      </c>
      <c r="C26" s="59">
        <v>0</v>
      </c>
      <c r="D26" s="59">
        <v>0</v>
      </c>
      <c r="E26" s="80">
        <v>0</v>
      </c>
      <c r="F26" s="69">
        <v>0</v>
      </c>
      <c r="G26" s="47">
        <v>0</v>
      </c>
      <c r="H26" s="61">
        <v>0</v>
      </c>
      <c r="I26" s="70">
        <v>29.587628865979379</v>
      </c>
      <c r="K26" s="98">
        <f t="shared" si="0"/>
        <v>0</v>
      </c>
      <c r="L26" s="98" t="s">
        <v>186</v>
      </c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31"/>
      <c r="AJ26" s="79"/>
      <c r="AK26" s="133"/>
      <c r="AM26" s="122" t="str">
        <f t="shared" si="4"/>
        <v/>
      </c>
      <c r="AN26" s="123" t="str">
        <f t="shared" ca="1" si="3"/>
        <v/>
      </c>
      <c r="AO26" s="123">
        <f t="shared" ca="1" si="5"/>
        <v>0</v>
      </c>
      <c r="AP26" s="77">
        <f ca="1">IF($AM26&gt;0,OFFSET(M26,0,ROUNDUP($AK26/4,0))*$AJ26,"")</f>
        <v>0</v>
      </c>
      <c r="AQ26" s="116">
        <f ca="1">IF($AM26&gt;0,OFFSET(N26,0,ROUNDUP($AK26/4,0))*$AJ26,"")</f>
        <v>0</v>
      </c>
      <c r="AR26" s="116">
        <f ca="1">IF($AM26&gt;0,OFFSET(O26,0,ROUNDUP($AK26/4,0))*$AJ26,"")</f>
        <v>0</v>
      </c>
      <c r="AS26" s="125">
        <f ca="1">IF($AM26&gt;0,OFFSET(P26,0,ROUNDUP($AK26/4,0))*$AJ26,"")</f>
        <v>0</v>
      </c>
      <c r="AT26" s="142">
        <f ca="1">IF($AM26&gt;0,OFFSET(Q26,0,ROUNDUP($AK26/4,0))*$AJ26,"")</f>
        <v>0</v>
      </c>
      <c r="AU26" s="116">
        <f ca="1">IF($AM26&gt;0,OFFSET(R26,0,ROUNDUP($AK26/4,0))*$AJ26,"")</f>
        <v>0</v>
      </c>
      <c r="AV26" s="116">
        <f ca="1">IF($AM26&gt;0,OFFSET(S26,0,ROUNDUP($AK26/4,0))*$AJ26,"")</f>
        <v>0</v>
      </c>
      <c r="AW26" s="116">
        <f ca="1">IF($AM26&gt;0,OFFSET(T26,0,ROUNDUP($AK26/4,0))*$AJ26,"")</f>
        <v>0</v>
      </c>
      <c r="AX26" s="116">
        <f ca="1">IF($AM26&gt;0,OFFSET(U26,0,ROUNDUP($AK26/4,0))*$AJ26,"")</f>
        <v>0</v>
      </c>
      <c r="AY26" s="116">
        <f ca="1">IF($AM26&gt;0,OFFSET(V26,0,ROUNDUP($AK26/4,0))*$AJ26,"")</f>
        <v>0</v>
      </c>
      <c r="AZ26" s="116">
        <f ca="1">IF($AM26&gt;0,OFFSET(W26,0,ROUNDUP($AK26/4,0))*$AJ26,"")</f>
        <v>0</v>
      </c>
      <c r="BA26" s="116">
        <f ca="1">IF($AM26&gt;0,OFFSET(X26,0,ROUNDUP($AK26/4,0))*$AJ26,"")</f>
        <v>0</v>
      </c>
      <c r="BB26" s="116">
        <f ca="1">IF($AM26&gt;0,OFFSET(Y26,0,ROUNDUP($AK26/4,0))*$AJ26,"")</f>
        <v>0</v>
      </c>
      <c r="BC26" s="116">
        <f ca="1">IF($AM26&gt;0,OFFSET(Z26,0,ROUNDUP($AK26/4,0))*$AJ26,"")</f>
        <v>0</v>
      </c>
      <c r="BD26" s="116">
        <f ca="1">IF($AM26&gt;0,OFFSET(AA26,0,ROUNDUP($AK26/4,0))*$AJ26,"")</f>
        <v>0</v>
      </c>
      <c r="BE26" s="125">
        <f ca="1">IF($AM26&gt;0,OFFSET(AB26,0,ROUNDUP($AK26/4,0))*$AJ26,"")</f>
        <v>0</v>
      </c>
    </row>
    <row r="27" spans="1:57" x14ac:dyDescent="0.3">
      <c r="A27" s="81" t="s">
        <v>11</v>
      </c>
      <c r="B27" s="59">
        <v>13.299999999999999</v>
      </c>
      <c r="C27" s="59">
        <v>21.1</v>
      </c>
      <c r="D27" s="59">
        <v>19.5</v>
      </c>
      <c r="E27" s="80">
        <f t="shared" si="1"/>
        <v>20.3</v>
      </c>
      <c r="F27" s="69">
        <v>0</v>
      </c>
      <c r="G27" s="47">
        <v>0</v>
      </c>
      <c r="H27" s="61">
        <v>0</v>
      </c>
      <c r="I27" s="70">
        <v>0</v>
      </c>
      <c r="K27" s="98">
        <f t="shared" si="0"/>
        <v>0</v>
      </c>
      <c r="L27" s="98" t="s">
        <v>186</v>
      </c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31"/>
      <c r="AJ27" s="79"/>
      <c r="AK27" s="133"/>
      <c r="AM27" s="122" t="str">
        <f t="shared" si="4"/>
        <v/>
      </c>
      <c r="AN27" s="123" t="str">
        <f t="shared" ca="1" si="3"/>
        <v/>
      </c>
      <c r="AO27" s="123">
        <f t="shared" ca="1" si="5"/>
        <v>0</v>
      </c>
      <c r="AP27" s="77">
        <f ca="1">IF($AM27&gt;0,OFFSET(M27,0,ROUNDUP($AK27/4,0))*$AJ27,"")</f>
        <v>0</v>
      </c>
      <c r="AQ27" s="116">
        <f ca="1">IF($AM27&gt;0,OFFSET(N27,0,ROUNDUP($AK27/4,0))*$AJ27,"")</f>
        <v>0</v>
      </c>
      <c r="AR27" s="116">
        <f ca="1">IF($AM27&gt;0,OFFSET(O27,0,ROUNDUP($AK27/4,0))*$AJ27,"")</f>
        <v>0</v>
      </c>
      <c r="AS27" s="125">
        <f ca="1">IF($AM27&gt;0,OFFSET(P27,0,ROUNDUP($AK27/4,0))*$AJ27,"")</f>
        <v>0</v>
      </c>
      <c r="AT27" s="142">
        <f ca="1">IF($AM27&gt;0,OFFSET(Q27,0,ROUNDUP($AK27/4,0))*$AJ27,"")</f>
        <v>0</v>
      </c>
      <c r="AU27" s="116">
        <f ca="1">IF($AM27&gt;0,OFFSET(R27,0,ROUNDUP($AK27/4,0))*$AJ27,"")</f>
        <v>0</v>
      </c>
      <c r="AV27" s="116">
        <f ca="1">IF($AM27&gt;0,OFFSET(S27,0,ROUNDUP($AK27/4,0))*$AJ27,"")</f>
        <v>0</v>
      </c>
      <c r="AW27" s="116">
        <f ca="1">IF($AM27&gt;0,OFFSET(T27,0,ROUNDUP($AK27/4,0))*$AJ27,"")</f>
        <v>0</v>
      </c>
      <c r="AX27" s="116">
        <f ca="1">IF($AM27&gt;0,OFFSET(U27,0,ROUNDUP($AK27/4,0))*$AJ27,"")</f>
        <v>0</v>
      </c>
      <c r="AY27" s="116">
        <f ca="1">IF($AM27&gt;0,OFFSET(V27,0,ROUNDUP($AK27/4,0))*$AJ27,"")</f>
        <v>0</v>
      </c>
      <c r="AZ27" s="116">
        <f ca="1">IF($AM27&gt;0,OFFSET(W27,0,ROUNDUP($AK27/4,0))*$AJ27,"")</f>
        <v>0</v>
      </c>
      <c r="BA27" s="116">
        <f ca="1">IF($AM27&gt;0,OFFSET(X27,0,ROUNDUP($AK27/4,0))*$AJ27,"")</f>
        <v>0</v>
      </c>
      <c r="BB27" s="116">
        <f ca="1">IF($AM27&gt;0,OFFSET(Y27,0,ROUNDUP($AK27/4,0))*$AJ27,"")</f>
        <v>0</v>
      </c>
      <c r="BC27" s="116">
        <f ca="1">IF($AM27&gt;0,OFFSET(Z27,0,ROUNDUP($AK27/4,0))*$AJ27,"")</f>
        <v>0</v>
      </c>
      <c r="BD27" s="116">
        <f ca="1">IF($AM27&gt;0,OFFSET(AA27,0,ROUNDUP($AK27/4,0))*$AJ27,"")</f>
        <v>0</v>
      </c>
      <c r="BE27" s="125">
        <f ca="1">IF($AM27&gt;0,OFFSET(AB27,0,ROUNDUP($AK27/4,0))*$AJ27,"")</f>
        <v>0</v>
      </c>
    </row>
    <row r="28" spans="1:57" x14ac:dyDescent="0.3">
      <c r="A28" s="83" t="s">
        <v>18</v>
      </c>
      <c r="B28" s="59">
        <v>23.207827000000012</v>
      </c>
      <c r="C28" s="59">
        <v>50</v>
      </c>
      <c r="D28" s="59">
        <v>0</v>
      </c>
      <c r="E28" s="80">
        <v>0</v>
      </c>
      <c r="F28" s="71">
        <v>0</v>
      </c>
      <c r="G28" s="59">
        <v>0</v>
      </c>
      <c r="H28" s="61">
        <v>0</v>
      </c>
      <c r="I28" s="70">
        <v>0</v>
      </c>
      <c r="J28" s="3" t="s">
        <v>179</v>
      </c>
      <c r="K28" s="98">
        <f t="shared" si="0"/>
        <v>5.5</v>
      </c>
      <c r="L28" s="104"/>
      <c r="M28" s="104"/>
      <c r="N28" s="104"/>
      <c r="O28" s="104"/>
      <c r="P28" s="104"/>
      <c r="Q28" s="144">
        <v>5.5</v>
      </c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31"/>
      <c r="AJ28" s="79">
        <v>1.3</v>
      </c>
      <c r="AK28" s="133">
        <v>12</v>
      </c>
      <c r="AM28" s="122">
        <f t="shared" si="4"/>
        <v>7.15</v>
      </c>
      <c r="AN28" s="123" t="str">
        <f t="shared" ca="1" si="3"/>
        <v/>
      </c>
      <c r="AO28" s="123">
        <f t="shared" ca="1" si="5"/>
        <v>0</v>
      </c>
      <c r="AP28" s="77">
        <f ca="1">IF($AM28&gt;0,OFFSET(M28,0,ROUNDUP($AK28/4,0))*$AJ28,"")</f>
        <v>0</v>
      </c>
      <c r="AQ28" s="175">
        <f ca="1">IF($AM28&gt;0,OFFSET(N28,0,ROUNDUP($AK28/4,0))*$AJ28,"")-1*7.15</f>
        <v>0</v>
      </c>
      <c r="AR28" s="116">
        <f ca="1">IF($AM28&gt;0,OFFSET(O28,0,ROUNDUP($AK28/4,0))*$AJ28,"")</f>
        <v>0</v>
      </c>
      <c r="AS28" s="125">
        <f ca="1">IF($AM28&gt;0,OFFSET(P28,0,ROUNDUP($AK28/4,0))*$AJ28,"")</f>
        <v>0</v>
      </c>
      <c r="AT28" s="142">
        <f ca="1">IF($AM28&gt;0,OFFSET(Q28,0,ROUNDUP($AK28/4,0))*$AJ28,"")</f>
        <v>0</v>
      </c>
      <c r="AU28" s="116">
        <f ca="1">IF($AM28&gt;0,OFFSET(R28,0,ROUNDUP($AK28/4,0))*$AJ28,"")</f>
        <v>0</v>
      </c>
      <c r="AV28" s="116">
        <f ca="1">IF($AM28&gt;0,OFFSET(S28,0,ROUNDUP($AK28/4,0))*$AJ28,"")</f>
        <v>0</v>
      </c>
      <c r="AW28" s="116">
        <f ca="1">IF($AM28&gt;0,OFFSET(T28,0,ROUNDUP($AK28/4,0))*$AJ28,"")</f>
        <v>0</v>
      </c>
      <c r="AX28" s="116">
        <f ca="1">IF($AM28&gt;0,OFFSET(U28,0,ROUNDUP($AK28/4,0))*$AJ28,"")</f>
        <v>0</v>
      </c>
      <c r="AY28" s="116">
        <f ca="1">IF($AM28&gt;0,OFFSET(V28,0,ROUNDUP($AK28/4,0))*$AJ28,"")</f>
        <v>0</v>
      </c>
      <c r="AZ28" s="116">
        <f ca="1">IF($AM28&gt;0,OFFSET(W28,0,ROUNDUP($AK28/4,0))*$AJ28,"")</f>
        <v>0</v>
      </c>
      <c r="BA28" s="116">
        <f ca="1">IF($AM28&gt;0,OFFSET(X28,0,ROUNDUP($AK28/4,0))*$AJ28,"")</f>
        <v>0</v>
      </c>
      <c r="BB28" s="116">
        <f ca="1">IF($AM28&gt;0,OFFSET(Y28,0,ROUNDUP($AK28/4,0))*$AJ28,"")</f>
        <v>0</v>
      </c>
      <c r="BC28" s="116">
        <f ca="1">IF($AM28&gt;0,OFFSET(Z28,0,ROUNDUP($AK28/4,0))*$AJ28,"")</f>
        <v>0</v>
      </c>
      <c r="BD28" s="116">
        <f ca="1">IF($AM28&gt;0,OFFSET(AA28,0,ROUNDUP($AK28/4,0))*$AJ28,"")</f>
        <v>0</v>
      </c>
      <c r="BE28" s="125">
        <f ca="1">IF($AM28&gt;0,OFFSET(AB28,0,ROUNDUP($AK28/4,0))*$AJ28,"")</f>
        <v>0</v>
      </c>
    </row>
    <row r="29" spans="1:57" x14ac:dyDescent="0.3">
      <c r="A29" s="83" t="s">
        <v>5</v>
      </c>
      <c r="B29" s="59">
        <v>0</v>
      </c>
      <c r="C29" s="60">
        <v>100</v>
      </c>
      <c r="D29" s="59">
        <v>50</v>
      </c>
      <c r="E29" s="80">
        <f t="shared" si="1"/>
        <v>75</v>
      </c>
      <c r="F29" s="69">
        <v>131.57894736842107</v>
      </c>
      <c r="G29" s="47">
        <v>65</v>
      </c>
      <c r="H29" s="61">
        <v>96</v>
      </c>
      <c r="I29" s="70">
        <v>193.29896907216497</v>
      </c>
      <c r="J29" s="3" t="s">
        <v>180</v>
      </c>
      <c r="K29" s="98">
        <f t="shared" si="0"/>
        <v>71.5</v>
      </c>
      <c r="L29" s="98" t="s">
        <v>190</v>
      </c>
      <c r="Q29" s="117"/>
      <c r="R29" s="117">
        <v>5.5</v>
      </c>
      <c r="S29" s="117">
        <f>5.5*2</f>
        <v>11</v>
      </c>
      <c r="T29" s="117">
        <v>5.5</v>
      </c>
      <c r="U29" s="117">
        <v>5.5</v>
      </c>
      <c r="V29" s="117">
        <v>5.5</v>
      </c>
      <c r="W29" s="117">
        <f>5.5*2</f>
        <v>11</v>
      </c>
      <c r="X29" s="117"/>
      <c r="Y29" s="117">
        <v>5.5</v>
      </c>
      <c r="Z29" s="117">
        <v>5.5</v>
      </c>
      <c r="AA29" s="117">
        <f>5.5*2</f>
        <v>11</v>
      </c>
      <c r="AB29" s="117">
        <v>5.5</v>
      </c>
      <c r="AC29" s="117"/>
      <c r="AD29" s="117">
        <f>5.5</f>
        <v>5.5</v>
      </c>
      <c r="AE29" s="117">
        <f>2*AD29</f>
        <v>11</v>
      </c>
      <c r="AF29" s="117">
        <v>5.5</v>
      </c>
      <c r="AG29" s="117">
        <f>2*AF29</f>
        <v>11</v>
      </c>
      <c r="AH29" s="117">
        <v>5.5</v>
      </c>
      <c r="AI29" s="131">
        <v>11</v>
      </c>
      <c r="AJ29" s="79">
        <v>1.3</v>
      </c>
      <c r="AK29" s="133">
        <v>14</v>
      </c>
      <c r="AL29" s="164">
        <v>1</v>
      </c>
      <c r="AM29" s="122">
        <f>IF(AJ29&lt;&gt;"",SUM(Q29:AF29)*AJ29,"")</f>
        <v>121.55</v>
      </c>
      <c r="AN29" s="123">
        <f t="shared" ca="1" si="3"/>
        <v>121.55000000000003</v>
      </c>
      <c r="AO29" s="123">
        <f t="shared" ca="1" si="5"/>
        <v>92.950000000000017</v>
      </c>
      <c r="AP29" s="77">
        <f ca="1">IF($AM29&gt;0,OFFSET(M29,0,ROUNDUP($AK29/4,0))*$AJ29,"")</f>
        <v>0</v>
      </c>
      <c r="AQ29" s="152">
        <f ca="1">IF($AM29&gt;0,OFFSET(N29,0,ROUNDUP($AK29/4,0))*$AJ29,"")-0*7.15</f>
        <v>7.15</v>
      </c>
      <c r="AR29" s="152">
        <f ca="1">IF($AM29&gt;0,OFFSET(O29,0,ROUNDUP($AK29/4,0))*$AJ29,"")-0*7.15</f>
        <v>14.3</v>
      </c>
      <c r="AS29" s="168">
        <f ca="1">IF($AM29&gt;0,OFFSET(P29,0,ROUNDUP($AK29/4,0))*$AJ29,"")</f>
        <v>7.15</v>
      </c>
      <c r="AT29" s="142">
        <f ca="1">IF($AM29&gt;0,OFFSET(Q29,0,ROUNDUP($AK29/4,0))*$AJ29,"")</f>
        <v>7.15</v>
      </c>
      <c r="AU29" s="116">
        <f ca="1">IF($AM29&gt;0,OFFSET(R29,0,ROUNDUP($AK29/4,0))*$AJ29,"")</f>
        <v>7.15</v>
      </c>
      <c r="AV29" s="116">
        <f ca="1">IF($AM29&gt;0,OFFSET(S29,0,ROUNDUP($AK29/4,0))*$AJ29,"")</f>
        <v>14.3</v>
      </c>
      <c r="AW29" s="116">
        <f ca="1">IF($AM29&gt;0,OFFSET(T29,0,ROUNDUP($AK29/4,0))*$AJ29,"")</f>
        <v>0</v>
      </c>
      <c r="AX29" s="116">
        <f ca="1">IF($AM29&gt;0,OFFSET(U29,0,ROUNDUP($AK29/4,0))*$AJ29,"")</f>
        <v>7.15</v>
      </c>
      <c r="AY29" s="116">
        <f ca="1">IF($AM29&gt;0,OFFSET(V29,0,ROUNDUP($AK29/4,0))*$AJ29,"")</f>
        <v>7.15</v>
      </c>
      <c r="AZ29" s="116">
        <f ca="1">IF($AM29&gt;0,OFFSET(W29,0,ROUNDUP($AK29/4,0))*$AJ29,"")</f>
        <v>14.3</v>
      </c>
      <c r="BA29" s="116">
        <f ca="1">IF($AM29&gt;0,OFFSET(X29,0,ROUNDUP($AK29/4,0))*$AJ29,"")</f>
        <v>7.15</v>
      </c>
      <c r="BB29" s="116">
        <f ca="1">IF($AM29&gt;0,OFFSET(Y29,0,ROUNDUP($AK29/4,0))*$AJ29,"")</f>
        <v>0</v>
      </c>
      <c r="BC29" s="116">
        <f ca="1">IF($AM29&gt;0,OFFSET(Z29,0,ROUNDUP($AK29/4,0))*$AJ29,"")</f>
        <v>7.15</v>
      </c>
      <c r="BD29" s="116">
        <f ca="1">IF($AM29&gt;0,OFFSET(AA29,0,ROUNDUP($AK29/4,0))*$AJ29,"")</f>
        <v>14.3</v>
      </c>
      <c r="BE29" s="125">
        <f ca="1">IF($AM29&gt;0,OFFSET(AB29,0,ROUNDUP($AK29/4,0))*$AJ29,"")</f>
        <v>7.15</v>
      </c>
    </row>
    <row r="30" spans="1:57" x14ac:dyDescent="0.3">
      <c r="A30" s="79" t="s">
        <v>25</v>
      </c>
      <c r="B30" s="59">
        <v>0</v>
      </c>
      <c r="C30" s="59">
        <v>0</v>
      </c>
      <c r="D30" s="102">
        <v>0</v>
      </c>
      <c r="E30" s="80">
        <f t="shared" si="1"/>
        <v>0</v>
      </c>
      <c r="F30" s="69">
        <v>0</v>
      </c>
      <c r="G30" s="47">
        <v>0</v>
      </c>
      <c r="H30" s="61">
        <v>0</v>
      </c>
      <c r="I30" s="70">
        <v>0</v>
      </c>
      <c r="K30" s="98">
        <f t="shared" si="0"/>
        <v>0</v>
      </c>
      <c r="L30" s="98" t="s">
        <v>186</v>
      </c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31"/>
      <c r="AJ30" s="79"/>
      <c r="AK30" s="133"/>
      <c r="AM30" s="122" t="str">
        <f t="shared" si="4"/>
        <v/>
      </c>
      <c r="AN30" s="123" t="str">
        <f t="shared" ca="1" si="3"/>
        <v/>
      </c>
      <c r="AO30" s="123">
        <f t="shared" ca="1" si="5"/>
        <v>0</v>
      </c>
      <c r="AP30" s="77">
        <f ca="1">IF($AM30&gt;0,OFFSET(M30,0,ROUNDUP($AK30/4,0))*$AJ30,"")</f>
        <v>0</v>
      </c>
      <c r="AQ30" s="116">
        <f ca="1">IF($AM30&gt;0,OFFSET(N30,0,ROUNDUP($AK30/4,0))*$AJ30,"")</f>
        <v>0</v>
      </c>
      <c r="AR30" s="116">
        <f ca="1">IF($AM30&gt;0,OFFSET(O30,0,ROUNDUP($AK30/4,0))*$AJ30,"")</f>
        <v>0</v>
      </c>
      <c r="AS30" s="125">
        <f ca="1">IF($AM30&gt;0,OFFSET(P30,0,ROUNDUP($AK30/4,0))*$AJ30,"")</f>
        <v>0</v>
      </c>
      <c r="AT30" s="142">
        <f ca="1">IF($AM30&gt;0,OFFSET(Q30,0,ROUNDUP($AK30/4,0))*$AJ30,"")</f>
        <v>0</v>
      </c>
      <c r="AU30" s="116">
        <f ca="1">IF($AM30&gt;0,OFFSET(R30,0,ROUNDUP($AK30/4,0))*$AJ30,"")</f>
        <v>0</v>
      </c>
      <c r="AV30" s="116">
        <f ca="1">IF($AM30&gt;0,OFFSET(S30,0,ROUNDUP($AK30/4,0))*$AJ30,"")</f>
        <v>0</v>
      </c>
      <c r="AW30" s="116">
        <f ca="1">IF($AM30&gt;0,OFFSET(T30,0,ROUNDUP($AK30/4,0))*$AJ30,"")</f>
        <v>0</v>
      </c>
      <c r="AX30" s="116">
        <f ca="1">IF($AM30&gt;0,OFFSET(U30,0,ROUNDUP($AK30/4,0))*$AJ30,"")</f>
        <v>0</v>
      </c>
      <c r="AY30" s="116">
        <f ca="1">IF($AM30&gt;0,OFFSET(V30,0,ROUNDUP($AK30/4,0))*$AJ30,"")</f>
        <v>0</v>
      </c>
      <c r="AZ30" s="116">
        <f ca="1">IF($AM30&gt;0,OFFSET(W30,0,ROUNDUP($AK30/4,0))*$AJ30,"")</f>
        <v>0</v>
      </c>
      <c r="BA30" s="116">
        <f ca="1">IF($AM30&gt;0,OFFSET(X30,0,ROUNDUP($AK30/4,0))*$AJ30,"")</f>
        <v>0</v>
      </c>
      <c r="BB30" s="116">
        <f ca="1">IF($AM30&gt;0,OFFSET(Y30,0,ROUNDUP($AK30/4,0))*$AJ30,"")</f>
        <v>0</v>
      </c>
      <c r="BC30" s="116">
        <f ca="1">IF($AM30&gt;0,OFFSET(Z30,0,ROUNDUP($AK30/4,0))*$AJ30,"")</f>
        <v>0</v>
      </c>
      <c r="BD30" s="116">
        <f ca="1">IF($AM30&gt;0,OFFSET(AA30,0,ROUNDUP($AK30/4,0))*$AJ30,"")</f>
        <v>0</v>
      </c>
      <c r="BE30" s="125">
        <f ca="1">IF($AM30&gt;0,OFFSET(AB30,0,ROUNDUP($AK30/4,0))*$AJ30,"")</f>
        <v>0</v>
      </c>
    </row>
    <row r="31" spans="1:57" x14ac:dyDescent="0.3">
      <c r="A31" s="79" t="s">
        <v>14</v>
      </c>
      <c r="B31" s="59">
        <v>23.490000000000002</v>
      </c>
      <c r="C31" s="59">
        <v>34</v>
      </c>
      <c r="D31" s="59">
        <v>9.75</v>
      </c>
      <c r="E31" s="97">
        <v>30</v>
      </c>
      <c r="F31" s="69">
        <v>13.421052631578947</v>
      </c>
      <c r="G31" s="47">
        <v>13.421052631578947</v>
      </c>
      <c r="H31" s="61">
        <v>7</v>
      </c>
      <c r="I31" s="70">
        <v>13.530927835051546</v>
      </c>
      <c r="K31" s="98">
        <f t="shared" si="0"/>
        <v>5.5</v>
      </c>
      <c r="L31" s="98" t="s">
        <v>190</v>
      </c>
      <c r="Q31" s="117"/>
      <c r="R31" s="117"/>
      <c r="S31" s="117"/>
      <c r="T31" s="117"/>
      <c r="U31" s="117"/>
      <c r="V31" s="117">
        <v>5.5</v>
      </c>
      <c r="W31" s="117"/>
      <c r="X31" s="117"/>
      <c r="Y31" s="117"/>
      <c r="Z31" s="117"/>
      <c r="AA31" s="117"/>
      <c r="AB31" s="117"/>
      <c r="AC31" s="117"/>
      <c r="AD31" s="117"/>
      <c r="AE31" s="117">
        <f>5.5</f>
        <v>5.5</v>
      </c>
      <c r="AF31" s="117"/>
      <c r="AG31" s="117"/>
      <c r="AH31" s="117"/>
      <c r="AI31" s="131"/>
      <c r="AJ31" s="79">
        <v>1.3</v>
      </c>
      <c r="AK31" s="133">
        <v>10</v>
      </c>
      <c r="AM31" s="122">
        <f t="shared" si="4"/>
        <v>14.3</v>
      </c>
      <c r="AN31" s="123">
        <f t="shared" ca="1" si="3"/>
        <v>14.3</v>
      </c>
      <c r="AO31" s="123">
        <f t="shared" ca="1" si="5"/>
        <v>14.3</v>
      </c>
      <c r="AP31" s="77">
        <f ca="1">IF($AM31&gt;0,OFFSET(M31,0,ROUNDUP($AK31/4,0))*$AJ31,"")</f>
        <v>0</v>
      </c>
      <c r="AQ31" s="116">
        <f ca="1">IF($AM31&gt;0,OFFSET(N31,0,ROUNDUP($AK31/4,0))*$AJ31,"")</f>
        <v>0</v>
      </c>
      <c r="AR31" s="116">
        <f ca="1">IF($AM31&gt;0,OFFSET(O31,0,ROUNDUP($AK31/4,0))*$AJ31,"")</f>
        <v>0</v>
      </c>
      <c r="AS31" s="125">
        <f ca="1">IF($AM31&gt;0,OFFSET(P31,0,ROUNDUP($AK31/4,0))*$AJ31,"")</f>
        <v>0</v>
      </c>
      <c r="AT31" s="142">
        <f ca="1">IF($AM31&gt;0,OFFSET(Q31,0,ROUNDUP($AK31/4,0))*$AJ31,"")</f>
        <v>0</v>
      </c>
      <c r="AU31" s="116">
        <f ca="1">IF($AM31&gt;0,OFFSET(R31,0,ROUNDUP($AK31/4,0))*$AJ31,"")</f>
        <v>0</v>
      </c>
      <c r="AV31" s="116">
        <f ca="1">IF($AM31&gt;0,OFFSET(S31,0,ROUNDUP($AK31/4,0))*$AJ31,"")</f>
        <v>7.15</v>
      </c>
      <c r="AW31" s="116">
        <f ca="1">IF($AM31&gt;0,OFFSET(T31,0,ROUNDUP($AK31/4,0))*$AJ31,"")</f>
        <v>0</v>
      </c>
      <c r="AX31" s="116">
        <f ca="1">IF($AM31&gt;0,OFFSET(U31,0,ROUNDUP($AK31/4,0))*$AJ31,"")</f>
        <v>0</v>
      </c>
      <c r="AY31" s="116">
        <f ca="1">IF($AM31&gt;0,OFFSET(V31,0,ROUNDUP($AK31/4,0))*$AJ31,"")</f>
        <v>0</v>
      </c>
      <c r="AZ31" s="116">
        <f ca="1">IF($AM31&gt;0,OFFSET(W31,0,ROUNDUP($AK31/4,0))*$AJ31,"")</f>
        <v>0</v>
      </c>
      <c r="BA31" s="116">
        <f ca="1">IF($AM31&gt;0,OFFSET(X31,0,ROUNDUP($AK31/4,0))*$AJ31,"")</f>
        <v>0</v>
      </c>
      <c r="BB31" s="116">
        <f ca="1">IF($AM31&gt;0,OFFSET(Y31,0,ROUNDUP($AK31/4,0))*$AJ31,"")</f>
        <v>0</v>
      </c>
      <c r="BC31" s="116">
        <f ca="1">IF($AM31&gt;0,OFFSET(Z31,0,ROUNDUP($AK31/4,0))*$AJ31,"")</f>
        <v>0</v>
      </c>
      <c r="BD31" s="116">
        <f ca="1">IF($AM31&gt;0,OFFSET(AA31,0,ROUNDUP($AK31/4,0))*$AJ31,"")</f>
        <v>0</v>
      </c>
      <c r="BE31" s="125">
        <f ca="1">IF($AM31&gt;0,OFFSET(AB31,0,ROUNDUP($AK31/4,0))*$AJ31,"")</f>
        <v>7.15</v>
      </c>
    </row>
    <row r="32" spans="1:57" x14ac:dyDescent="0.3">
      <c r="A32" s="79" t="s">
        <v>88</v>
      </c>
      <c r="B32" s="59">
        <v>306</v>
      </c>
      <c r="C32" s="59">
        <v>400</v>
      </c>
      <c r="D32" s="59">
        <v>400</v>
      </c>
      <c r="E32" s="80">
        <f t="shared" si="1"/>
        <v>400</v>
      </c>
      <c r="F32" s="69">
        <v>0</v>
      </c>
      <c r="G32" s="47">
        <v>0</v>
      </c>
      <c r="H32" s="61">
        <v>0</v>
      </c>
      <c r="I32" s="70">
        <v>0</v>
      </c>
      <c r="K32" s="98">
        <f t="shared" si="0"/>
        <v>0</v>
      </c>
      <c r="L32" s="98" t="s">
        <v>186</v>
      </c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31"/>
      <c r="AJ32" s="79"/>
      <c r="AK32" s="133"/>
      <c r="AM32" s="122" t="str">
        <f t="shared" si="4"/>
        <v/>
      </c>
      <c r="AN32" s="123" t="str">
        <f t="shared" ca="1" si="3"/>
        <v/>
      </c>
      <c r="AO32" s="123"/>
      <c r="AP32" s="77">
        <f ca="1">IF($AM32&gt;0,OFFSET(M32,0,ROUNDUP($AK32/4,0))*$AJ32,"")</f>
        <v>0</v>
      </c>
      <c r="AQ32" s="116">
        <f ca="1">IF($AM32&gt;0,OFFSET(N32,0,ROUNDUP($AK32/4,0))*$AJ32,"")</f>
        <v>0</v>
      </c>
      <c r="AR32" s="116">
        <f ca="1">IF($AM32&gt;0,OFFSET(O32,0,ROUNDUP($AK32/4,0))*$AJ32,"")</f>
        <v>0</v>
      </c>
      <c r="AS32" s="125">
        <f ca="1">IF($AM32&gt;0,OFFSET(P32,0,ROUNDUP($AK32/4,0))*$AJ32,"")</f>
        <v>0</v>
      </c>
      <c r="AT32" s="142">
        <f ca="1">IF($AM32&gt;0,OFFSET(Q32,0,ROUNDUP($AK32/4,0))*$AJ32,"")</f>
        <v>0</v>
      </c>
      <c r="AU32" s="116">
        <f ca="1">IF($AM32&gt;0,OFFSET(R32,0,ROUNDUP($AK32/4,0))*$AJ32,"")</f>
        <v>0</v>
      </c>
      <c r="AV32" s="116">
        <f ca="1">IF($AM32&gt;0,OFFSET(S32,0,ROUNDUP($AK32/4,0))*$AJ32,"")</f>
        <v>0</v>
      </c>
      <c r="AW32" s="116">
        <f ca="1">IF($AM32&gt;0,OFFSET(T32,0,ROUNDUP($AK32/4,0))*$AJ32,"")</f>
        <v>0</v>
      </c>
      <c r="AX32" s="116">
        <f ca="1">IF($AM32&gt;0,OFFSET(U32,0,ROUNDUP($AK32/4,0))*$AJ32,"")</f>
        <v>0</v>
      </c>
      <c r="AY32" s="116">
        <f ca="1">IF($AM32&gt;0,OFFSET(V32,0,ROUNDUP($AK32/4,0))*$AJ32,"")</f>
        <v>0</v>
      </c>
      <c r="AZ32" s="116">
        <f ca="1">IF($AM32&gt;0,OFFSET(W32,0,ROUNDUP($AK32/4,0))*$AJ32,"")</f>
        <v>0</v>
      </c>
      <c r="BA32" s="116">
        <f ca="1">IF($AM32&gt;0,OFFSET(X32,0,ROUNDUP($AK32/4,0))*$AJ32,"")</f>
        <v>0</v>
      </c>
      <c r="BB32" s="116">
        <f ca="1">IF($AM32&gt;0,OFFSET(Y32,0,ROUNDUP($AK32/4,0))*$AJ32,"")</f>
        <v>0</v>
      </c>
      <c r="BC32" s="116">
        <f ca="1">IF($AM32&gt;0,OFFSET(Z32,0,ROUNDUP($AK32/4,0))*$AJ32,"")</f>
        <v>0</v>
      </c>
      <c r="BD32" s="116">
        <f ca="1">IF($AM32&gt;0,OFFSET(AA32,0,ROUNDUP($AK32/4,0))*$AJ32,"")</f>
        <v>0</v>
      </c>
      <c r="BE32" s="125">
        <f ca="1">IF($AM32&gt;0,OFFSET(AB32,0,ROUNDUP($AK32/4,0))*$AJ32,"")</f>
        <v>0</v>
      </c>
    </row>
    <row r="33" spans="1:57" x14ac:dyDescent="0.3">
      <c r="A33" s="79" t="s">
        <v>92</v>
      </c>
      <c r="B33" s="59">
        <v>67</v>
      </c>
      <c r="C33" s="59">
        <v>30</v>
      </c>
      <c r="D33" s="59">
        <v>30</v>
      </c>
      <c r="E33" s="80">
        <f t="shared" si="1"/>
        <v>30</v>
      </c>
      <c r="F33" s="69">
        <v>0</v>
      </c>
      <c r="G33" s="47">
        <v>0</v>
      </c>
      <c r="H33" s="61">
        <v>0</v>
      </c>
      <c r="I33" s="70">
        <v>19.329896907216497</v>
      </c>
      <c r="K33" s="98">
        <f t="shared" si="0"/>
        <v>0</v>
      </c>
      <c r="L33" s="98" t="s">
        <v>186</v>
      </c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31"/>
      <c r="AJ33" s="79"/>
      <c r="AK33" s="133"/>
      <c r="AM33" s="122" t="str">
        <f t="shared" si="4"/>
        <v/>
      </c>
      <c r="AN33" s="123" t="str">
        <f t="shared" ca="1" si="3"/>
        <v/>
      </c>
      <c r="AO33" s="123"/>
      <c r="AP33" s="77">
        <f ca="1">IF($AM33&gt;0,OFFSET(M33,0,ROUNDUP($AK33/4,0))*$AJ33,"")</f>
        <v>0</v>
      </c>
      <c r="AQ33" s="116">
        <f ca="1">IF($AM33&gt;0,OFFSET(N33,0,ROUNDUP($AK33/4,0))*$AJ33,"")</f>
        <v>0</v>
      </c>
      <c r="AR33" s="116">
        <f ca="1">IF($AM33&gt;0,OFFSET(O33,0,ROUNDUP($AK33/4,0))*$AJ33,"")</f>
        <v>0</v>
      </c>
      <c r="AS33" s="125">
        <f ca="1">IF($AM33&gt;0,OFFSET(P33,0,ROUNDUP($AK33/4,0))*$AJ33,"")</f>
        <v>0</v>
      </c>
      <c r="AT33" s="142">
        <f ca="1">IF($AM33&gt;0,OFFSET(Q33,0,ROUNDUP($AK33/4,0))*$AJ33,"")</f>
        <v>0</v>
      </c>
      <c r="AU33" s="116">
        <f ca="1">IF($AM33&gt;0,OFFSET(R33,0,ROUNDUP($AK33/4,0))*$AJ33,"")</f>
        <v>0</v>
      </c>
      <c r="AV33" s="116">
        <f ca="1">IF($AM33&gt;0,OFFSET(S33,0,ROUNDUP($AK33/4,0))*$AJ33,"")</f>
        <v>0</v>
      </c>
      <c r="AW33" s="116">
        <f ca="1">IF($AM33&gt;0,OFFSET(T33,0,ROUNDUP($AK33/4,0))*$AJ33,"")</f>
        <v>0</v>
      </c>
      <c r="AX33" s="116">
        <f ca="1">IF($AM33&gt;0,OFFSET(U33,0,ROUNDUP($AK33/4,0))*$AJ33,"")</f>
        <v>0</v>
      </c>
      <c r="AY33" s="116">
        <f ca="1">IF($AM33&gt;0,OFFSET(V33,0,ROUNDUP($AK33/4,0))*$AJ33,"")</f>
        <v>0</v>
      </c>
      <c r="AZ33" s="116">
        <f ca="1">IF($AM33&gt;0,OFFSET(W33,0,ROUNDUP($AK33/4,0))*$AJ33,"")</f>
        <v>0</v>
      </c>
      <c r="BA33" s="116">
        <f ca="1">IF($AM33&gt;0,OFFSET(X33,0,ROUNDUP($AK33/4,0))*$AJ33,"")</f>
        <v>0</v>
      </c>
      <c r="BB33" s="116">
        <f ca="1">IF($AM33&gt;0,OFFSET(Y33,0,ROUNDUP($AK33/4,0))*$AJ33,"")</f>
        <v>0</v>
      </c>
      <c r="BC33" s="116">
        <f ca="1">IF($AM33&gt;0,OFFSET(Z33,0,ROUNDUP($AK33/4,0))*$AJ33,"")</f>
        <v>0</v>
      </c>
      <c r="BD33" s="116">
        <f ca="1">IF($AM33&gt;0,OFFSET(AA33,0,ROUNDUP($AK33/4,0))*$AJ33,"")</f>
        <v>0</v>
      </c>
      <c r="BE33" s="125">
        <f ca="1">IF($AM33&gt;0,OFFSET(AB33,0,ROUNDUP($AK33/4,0))*$AJ33,"")</f>
        <v>0</v>
      </c>
    </row>
    <row r="34" spans="1:57" x14ac:dyDescent="0.3">
      <c r="A34" s="79" t="s">
        <v>89</v>
      </c>
      <c r="B34" s="59">
        <v>17</v>
      </c>
      <c r="C34" s="59"/>
      <c r="D34" s="59">
        <v>0</v>
      </c>
      <c r="E34" s="80">
        <f t="shared" si="1"/>
        <v>0</v>
      </c>
      <c r="F34" s="69">
        <v>0</v>
      </c>
      <c r="G34" s="47">
        <v>0</v>
      </c>
      <c r="H34" s="61">
        <v>0</v>
      </c>
      <c r="I34" s="70">
        <v>0</v>
      </c>
      <c r="K34" s="98">
        <f t="shared" si="0"/>
        <v>0</v>
      </c>
      <c r="L34" s="98" t="s">
        <v>186</v>
      </c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32"/>
      <c r="AJ34" s="79"/>
      <c r="AK34" s="133"/>
      <c r="AM34" s="122" t="str">
        <f t="shared" si="4"/>
        <v/>
      </c>
      <c r="AN34" s="123" t="str">
        <f t="shared" ca="1" si="3"/>
        <v/>
      </c>
      <c r="AO34" s="123"/>
      <c r="AP34" s="77">
        <f ca="1">IF($AM34&gt;0,OFFSET(M34,0,ROUNDUP($AK34/4,0))*$AJ34,"")</f>
        <v>0</v>
      </c>
      <c r="AQ34" s="116">
        <f ca="1">IF($AM34&gt;0,OFFSET(N34,0,ROUNDUP($AK34/4,0))*$AJ34,"")</f>
        <v>0</v>
      </c>
      <c r="AR34" s="116">
        <f ca="1">IF($AM34&gt;0,OFFSET(O34,0,ROUNDUP($AK34/4,0))*$AJ34,"")</f>
        <v>0</v>
      </c>
      <c r="AS34" s="125">
        <f ca="1">IF($AM34&gt;0,OFFSET(P34,0,ROUNDUP($AK34/4,0))*$AJ34,"")</f>
        <v>0</v>
      </c>
      <c r="AT34" s="142">
        <f ca="1">IF($AM34&gt;0,OFFSET(Q34,0,ROUNDUP($AK34/4,0))*$AJ34,"")</f>
        <v>0</v>
      </c>
      <c r="AU34" s="116">
        <f ca="1">IF($AM34&gt;0,OFFSET(R34,0,ROUNDUP($AK34/4,0))*$AJ34,"")</f>
        <v>0</v>
      </c>
      <c r="AV34" s="116">
        <f ca="1">IF($AM34&gt;0,OFFSET(S34,0,ROUNDUP($AK34/4,0))*$AJ34,"")</f>
        <v>0</v>
      </c>
      <c r="AW34" s="116">
        <f ca="1">IF($AM34&gt;0,OFFSET(T34,0,ROUNDUP($AK34/4,0))*$AJ34,"")</f>
        <v>0</v>
      </c>
      <c r="AX34" s="116">
        <f ca="1">IF($AM34&gt;0,OFFSET(U34,0,ROUNDUP($AK34/4,0))*$AJ34,"")</f>
        <v>0</v>
      </c>
      <c r="AY34" s="116">
        <f ca="1">IF($AM34&gt;0,OFFSET(V34,0,ROUNDUP($AK34/4,0))*$AJ34,"")</f>
        <v>0</v>
      </c>
      <c r="AZ34" s="116">
        <f ca="1">IF($AM34&gt;0,OFFSET(W34,0,ROUNDUP($AK34/4,0))*$AJ34,"")</f>
        <v>0</v>
      </c>
      <c r="BA34" s="116">
        <f ca="1">IF($AM34&gt;0,OFFSET(X34,0,ROUNDUP($AK34/4,0))*$AJ34,"")</f>
        <v>0</v>
      </c>
      <c r="BB34" s="116">
        <f ca="1">IF($AM34&gt;0,OFFSET(Y34,0,ROUNDUP($AK34/4,0))*$AJ34,"")</f>
        <v>0</v>
      </c>
      <c r="BC34" s="116">
        <f ca="1">IF($AM34&gt;0,OFFSET(Z34,0,ROUNDUP($AK34/4,0))*$AJ34,"")</f>
        <v>0</v>
      </c>
      <c r="BD34" s="116">
        <f ca="1">IF($AM34&gt;0,OFFSET(AA34,0,ROUNDUP($AK34/4,0))*$AJ34,"")</f>
        <v>0</v>
      </c>
      <c r="BE34" s="125">
        <f ca="1">IF($AM34&gt;0,OFFSET(AB34,0,ROUNDUP($AK34/4,0))*$AJ34,"")</f>
        <v>0</v>
      </c>
    </row>
    <row r="35" spans="1:57" ht="15" thickBot="1" x14ac:dyDescent="0.35">
      <c r="A35" s="84" t="s">
        <v>90</v>
      </c>
      <c r="B35" s="53">
        <v>0</v>
      </c>
      <c r="C35" s="53"/>
      <c r="D35" s="53">
        <v>0</v>
      </c>
      <c r="E35" s="85">
        <f t="shared" si="1"/>
        <v>0</v>
      </c>
      <c r="F35" s="72">
        <v>0</v>
      </c>
      <c r="G35" s="54">
        <v>0</v>
      </c>
      <c r="H35" s="64">
        <v>0</v>
      </c>
      <c r="I35" s="73">
        <v>0</v>
      </c>
      <c r="K35" s="98">
        <f t="shared" si="0"/>
        <v>0</v>
      </c>
      <c r="L35" s="98" t="s">
        <v>186</v>
      </c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32"/>
      <c r="AJ35" s="136"/>
      <c r="AK35" s="137"/>
      <c r="AM35" s="139" t="str">
        <f t="shared" si="4"/>
        <v/>
      </c>
      <c r="AN35" s="105" t="str">
        <f t="shared" ca="1" si="3"/>
        <v/>
      </c>
      <c r="AO35" s="105"/>
      <c r="AP35" s="126">
        <f ca="1">IF($AM35&gt;0,OFFSET(M35,0,ROUNDUP($AK35/4,0))*$AJ35,"")</f>
        <v>0</v>
      </c>
      <c r="AQ35" s="127">
        <f ca="1">IF($AM35&gt;0,OFFSET(N35,0,ROUNDUP($AK35/4,0))*$AJ35,"")</f>
        <v>0</v>
      </c>
      <c r="AR35" s="127">
        <f ca="1">IF($AM35&gt;0,OFFSET(O35,0,ROUNDUP($AK35/4,0))*$AJ35,"")</f>
        <v>0</v>
      </c>
      <c r="AS35" s="128">
        <f ca="1">IF($AM35&gt;0,OFFSET(P35,0,ROUNDUP($AK35/4,0))*$AJ35,"")</f>
        <v>0</v>
      </c>
      <c r="AT35" s="143">
        <f ca="1">IF($AM35&gt;0,OFFSET(Q35,0,ROUNDUP($AK35/4,0))*$AJ35,"")</f>
        <v>0</v>
      </c>
      <c r="AU35" s="127">
        <f ca="1">IF($AM35&gt;0,OFFSET(R35,0,ROUNDUP($AK35/4,0))*$AJ35,"")</f>
        <v>0</v>
      </c>
      <c r="AV35" s="127">
        <f ca="1">IF($AM35&gt;0,OFFSET(S35,0,ROUNDUP($AK35/4,0))*$AJ35,"")</f>
        <v>0</v>
      </c>
      <c r="AW35" s="127">
        <f ca="1">IF($AM35&gt;0,OFFSET(T35,0,ROUNDUP($AK35/4,0))*$AJ35,"")</f>
        <v>0</v>
      </c>
      <c r="AX35" s="127">
        <f ca="1">IF($AM35&gt;0,OFFSET(U35,0,ROUNDUP($AK35/4,0))*$AJ35,"")</f>
        <v>0</v>
      </c>
      <c r="AY35" s="127">
        <f ca="1">IF($AM35&gt;0,OFFSET(V35,0,ROUNDUP($AK35/4,0))*$AJ35,"")</f>
        <v>0</v>
      </c>
      <c r="AZ35" s="127">
        <f ca="1">IF($AM35&gt;0,OFFSET(W35,0,ROUNDUP($AK35/4,0))*$AJ35,"")</f>
        <v>0</v>
      </c>
      <c r="BA35" s="127">
        <f ca="1">IF($AM35&gt;0,OFFSET(X35,0,ROUNDUP($AK35/4,0))*$AJ35,"")</f>
        <v>0</v>
      </c>
      <c r="BB35" s="127">
        <f ca="1">IF($AM35&gt;0,OFFSET(Y35,0,ROUNDUP($AK35/4,0))*$AJ35,"")</f>
        <v>0</v>
      </c>
      <c r="BC35" s="127">
        <f ca="1">IF($AM35&gt;0,OFFSET(Z35,0,ROUNDUP($AK35/4,0))*$AJ35,"")</f>
        <v>0</v>
      </c>
      <c r="BD35" s="127">
        <f ca="1">IF($AM35&gt;0,OFFSET(AA35,0,ROUNDUP($AK35/4,0))*$AJ35,"")</f>
        <v>0</v>
      </c>
      <c r="BE35" s="128">
        <f ca="1">IF($AM35&gt;0,OFFSET(AB35,0,ROUNDUP($AK35/4,0))*$AJ35,"")</f>
        <v>0</v>
      </c>
    </row>
    <row r="36" spans="1:57" s="91" customFormat="1" ht="31.5" customHeight="1" x14ac:dyDescent="0.3">
      <c r="A36" s="55" t="s">
        <v>170</v>
      </c>
      <c r="B36" s="56">
        <f>SUM(B5:B35)</f>
        <v>1833.9978269999999</v>
      </c>
      <c r="C36" s="56">
        <f t="shared" ref="C36:I36" si="7">SUM(C5:C35)</f>
        <v>2260.6073749999996</v>
      </c>
      <c r="D36" s="56">
        <f t="shared" si="7"/>
        <v>1769.5309999999999</v>
      </c>
      <c r="E36" s="62">
        <f t="shared" si="7"/>
        <v>1994.5941875000001</v>
      </c>
      <c r="F36" s="56">
        <f t="shared" si="7"/>
        <v>718.86930810171498</v>
      </c>
      <c r="G36" s="56">
        <f t="shared" si="7"/>
        <v>484.4016853932585</v>
      </c>
      <c r="H36" s="62">
        <f t="shared" si="7"/>
        <v>601.27631578947376</v>
      </c>
      <c r="I36" s="56">
        <f t="shared" si="7"/>
        <v>1189.9278624860542</v>
      </c>
      <c r="K36" s="101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N36" s="160">
        <f ca="1">AN1-AM1</f>
        <v>-39.649999999999977</v>
      </c>
      <c r="AO36" s="160"/>
      <c r="AP36" s="91">
        <f ca="1">SUM(AP3:AP35)</f>
        <v>0</v>
      </c>
      <c r="AQ36" s="91">
        <f ca="1">SUM(AQ3:AQ35)</f>
        <v>7.15</v>
      </c>
      <c r="AR36" s="91">
        <f ca="1">SUM(AR3:AR35)</f>
        <v>27.46</v>
      </c>
      <c r="AS36" s="91">
        <f ca="1">SUM(AS3:AS35)</f>
        <v>20.310000000000002</v>
      </c>
      <c r="AT36" s="91">
        <f t="shared" ref="AT36:BE36" ca="1" si="8">SUM(AT3:AT35)</f>
        <v>41.47</v>
      </c>
      <c r="AU36" s="91">
        <f t="shared" ca="1" si="8"/>
        <v>27.560000000000002</v>
      </c>
      <c r="AV36" s="91">
        <f t="shared" ca="1" si="8"/>
        <v>76.31</v>
      </c>
      <c r="AW36" s="91">
        <f t="shared" ca="1" si="8"/>
        <v>26.91</v>
      </c>
      <c r="AX36" s="91">
        <f t="shared" ca="1" si="8"/>
        <v>28.310000000000002</v>
      </c>
      <c r="AY36" s="91">
        <f t="shared" ca="1" si="8"/>
        <v>34.06</v>
      </c>
      <c r="AZ36" s="91">
        <f t="shared" ca="1" si="8"/>
        <v>89.41</v>
      </c>
      <c r="BA36" s="91">
        <f t="shared" ca="1" si="8"/>
        <v>91.93</v>
      </c>
      <c r="BB36" s="91">
        <f t="shared" ca="1" si="8"/>
        <v>68.34</v>
      </c>
      <c r="BC36" s="91">
        <f t="shared" ca="1" si="8"/>
        <v>47.38</v>
      </c>
      <c r="BD36" s="91">
        <f t="shared" ca="1" si="8"/>
        <v>68.03</v>
      </c>
      <c r="BE36" s="91">
        <f t="shared" ca="1" si="8"/>
        <v>61.03</v>
      </c>
    </row>
    <row r="37" spans="1:57" s="58" customFormat="1" ht="25.95" customHeight="1" thickBot="1" x14ac:dyDescent="0.35">
      <c r="A37" s="86" t="s">
        <v>183</v>
      </c>
      <c r="B37" s="87">
        <f>B36-B32- B24</f>
        <v>1471.9978269999999</v>
      </c>
      <c r="C37" s="87">
        <f t="shared" ref="C37:E37" si="9">C36-C32- C24</f>
        <v>1710.6073749999996</v>
      </c>
      <c r="D37" s="87">
        <f t="shared" si="9"/>
        <v>1269.5309999999999</v>
      </c>
      <c r="E37" s="87">
        <f t="shared" si="9"/>
        <v>1469.5941875000001</v>
      </c>
      <c r="F37" s="88"/>
      <c r="G37" s="89"/>
      <c r="H37" s="89"/>
      <c r="I37" s="90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</row>
    <row r="38" spans="1:57" ht="15" thickBot="1" x14ac:dyDescent="0.35">
      <c r="AH38" s="98" t="s">
        <v>217</v>
      </c>
      <c r="AM38" s="3"/>
      <c r="AP38">
        <f ca="1">ROUNDUP(AP36/7.1,0)</f>
        <v>0</v>
      </c>
      <c r="AQ38">
        <f t="shared" ref="AQ38:BE38" ca="1" si="10">ROUNDUP(AQ36/7.1,0)</f>
        <v>2</v>
      </c>
      <c r="AR38">
        <f t="shared" ca="1" si="10"/>
        <v>4</v>
      </c>
      <c r="AS38">
        <f t="shared" ca="1" si="10"/>
        <v>3</v>
      </c>
      <c r="AT38">
        <f t="shared" ca="1" si="10"/>
        <v>6</v>
      </c>
      <c r="AU38">
        <f t="shared" ca="1" si="10"/>
        <v>4</v>
      </c>
      <c r="AV38">
        <f t="shared" ca="1" si="10"/>
        <v>11</v>
      </c>
      <c r="AW38">
        <f t="shared" ca="1" si="10"/>
        <v>4</v>
      </c>
      <c r="AX38">
        <f t="shared" ca="1" si="10"/>
        <v>4</v>
      </c>
      <c r="AY38">
        <f t="shared" ca="1" si="10"/>
        <v>5</v>
      </c>
      <c r="AZ38">
        <f t="shared" ca="1" si="10"/>
        <v>13</v>
      </c>
      <c r="BA38">
        <f t="shared" ca="1" si="10"/>
        <v>13</v>
      </c>
      <c r="BB38">
        <f t="shared" ca="1" si="10"/>
        <v>10</v>
      </c>
      <c r="BC38">
        <f t="shared" ca="1" si="10"/>
        <v>7</v>
      </c>
      <c r="BD38">
        <f t="shared" ca="1" si="10"/>
        <v>10</v>
      </c>
      <c r="BE38">
        <f t="shared" ca="1" si="10"/>
        <v>9</v>
      </c>
    </row>
    <row r="39" spans="1:57" x14ac:dyDescent="0.3">
      <c r="A39" s="145" t="s">
        <v>188</v>
      </c>
      <c r="B39" s="146"/>
      <c r="C39" s="146"/>
      <c r="D39" s="146"/>
      <c r="E39" s="146"/>
      <c r="F39" s="146"/>
      <c r="G39" s="146"/>
      <c r="H39" s="157">
        <f>(6-1)*7</f>
        <v>35</v>
      </c>
      <c r="AH39" s="176">
        <f>H39-AN39</f>
        <v>14</v>
      </c>
      <c r="AI39" s="159">
        <f>SUM(AP39:AY39)</f>
        <v>3</v>
      </c>
      <c r="AJ39" s="3" t="s">
        <v>207</v>
      </c>
      <c r="AN39" s="161">
        <f>AI39*7</f>
        <v>21</v>
      </c>
      <c r="AO39" s="161"/>
      <c r="AP39">
        <v>1</v>
      </c>
      <c r="AQ39">
        <f>1</f>
        <v>1</v>
      </c>
      <c r="AR39">
        <f>1</f>
        <v>1</v>
      </c>
    </row>
    <row r="40" spans="1:57" ht="15" thickBot="1" x14ac:dyDescent="0.35">
      <c r="A40" s="147" t="s">
        <v>189</v>
      </c>
      <c r="B40" s="148"/>
      <c r="C40" s="148"/>
      <c r="D40" s="148"/>
      <c r="E40" s="148"/>
      <c r="F40" s="148"/>
      <c r="G40" s="148"/>
      <c r="H40" s="149">
        <f>3*7</f>
        <v>21</v>
      </c>
      <c r="AH40" s="176">
        <f>H40-AN40</f>
        <v>14</v>
      </c>
      <c r="AI40" s="175">
        <f>SUM(AP40:AY40)</f>
        <v>1</v>
      </c>
      <c r="AJ40" s="3" t="s">
        <v>208</v>
      </c>
      <c r="AL40" s="3"/>
      <c r="AN40" s="161">
        <f>AI40*7</f>
        <v>7</v>
      </c>
      <c r="AO40" s="161"/>
      <c r="AQ40">
        <v>1</v>
      </c>
    </row>
    <row r="41" spans="1:57" x14ac:dyDescent="0.3">
      <c r="AI41" s="171">
        <f>SUM(AQ41:AZ41)</f>
        <v>2</v>
      </c>
      <c r="AJ41" s="174" t="s">
        <v>212</v>
      </c>
      <c r="AN41" s="161">
        <f>AI41*7</f>
        <v>14</v>
      </c>
      <c r="AO41" s="161"/>
      <c r="AP41" s="161"/>
      <c r="AS41">
        <v>1</v>
      </c>
      <c r="AX41">
        <v>1</v>
      </c>
    </row>
    <row r="42" spans="1:57" x14ac:dyDescent="0.3">
      <c r="A42" s="3" t="s">
        <v>197</v>
      </c>
      <c r="AJ42" s="3" t="s">
        <v>209</v>
      </c>
    </row>
    <row r="43" spans="1:57" x14ac:dyDescent="0.3">
      <c r="B43" s="3" t="s">
        <v>198</v>
      </c>
      <c r="C43" s="3" t="s">
        <v>199</v>
      </c>
      <c r="D43" s="3" t="s">
        <v>201</v>
      </c>
    </row>
    <row r="44" spans="1:57" x14ac:dyDescent="0.3">
      <c r="B44" s="3" t="s">
        <v>202</v>
      </c>
    </row>
    <row r="45" spans="1:57" x14ac:dyDescent="0.3">
      <c r="B45" s="3" t="s">
        <v>203</v>
      </c>
    </row>
    <row r="46" spans="1:57" x14ac:dyDescent="0.3">
      <c r="B46" s="3" t="s">
        <v>204</v>
      </c>
    </row>
    <row r="47" spans="1:57" x14ac:dyDescent="0.3">
      <c r="B47" s="3" t="s">
        <v>205</v>
      </c>
    </row>
    <row r="48" spans="1:57" x14ac:dyDescent="0.3">
      <c r="B48" s="3" t="s">
        <v>206</v>
      </c>
    </row>
    <row r="49" spans="1:22" x14ac:dyDescent="0.3">
      <c r="B49" s="3" t="s">
        <v>200</v>
      </c>
    </row>
    <row r="50" spans="1:22" x14ac:dyDescent="0.3">
      <c r="A50" s="162">
        <v>44019</v>
      </c>
      <c r="B50" s="3" t="s">
        <v>210</v>
      </c>
      <c r="T50" s="117" t="s">
        <v>219</v>
      </c>
      <c r="U50" s="117" t="s">
        <v>220</v>
      </c>
      <c r="V50" s="117" t="s">
        <v>224</v>
      </c>
    </row>
    <row r="51" spans="1:22" ht="97.2" customHeight="1" x14ac:dyDescent="0.3">
      <c r="B51" s="167" t="s">
        <v>213</v>
      </c>
      <c r="C51" s="167"/>
      <c r="D51" s="167"/>
      <c r="E51" s="167"/>
      <c r="F51" s="167"/>
      <c r="G51" s="167"/>
      <c r="H51" s="167"/>
      <c r="I51" s="167"/>
      <c r="J51" s="167"/>
      <c r="M51" s="180" t="s">
        <v>221</v>
      </c>
      <c r="Q51" s="101"/>
      <c r="R51" s="101"/>
      <c r="S51" s="101"/>
      <c r="T51" s="118">
        <f>1+1+3</f>
        <v>5</v>
      </c>
      <c r="U51" s="118">
        <v>8</v>
      </c>
      <c r="V51" s="118"/>
    </row>
    <row r="52" spans="1:22" ht="159.6" customHeight="1" x14ac:dyDescent="0.3">
      <c r="B52" s="181" t="s">
        <v>223</v>
      </c>
      <c r="C52" s="181"/>
      <c r="D52" s="181"/>
      <c r="E52" s="181"/>
      <c r="F52" s="181"/>
      <c r="G52" s="181"/>
      <c r="H52" s="181"/>
      <c r="I52" s="181"/>
      <c r="J52" s="181"/>
      <c r="Q52" s="101" t="s">
        <v>222</v>
      </c>
      <c r="R52" s="101"/>
      <c r="S52" s="101"/>
      <c r="T52" s="118">
        <f>0+1+3</f>
        <v>4</v>
      </c>
      <c r="U52" s="118">
        <f>T52+2</f>
        <v>6</v>
      </c>
      <c r="V52" s="118"/>
    </row>
  </sheetData>
  <autoFilter ref="A3:I37" xr:uid="{C6F962FC-9C0E-42C5-8DE8-B9E5AC72C986}"/>
  <mergeCells count="4">
    <mergeCell ref="B2:E2"/>
    <mergeCell ref="F2:I2"/>
    <mergeCell ref="B51:J51"/>
    <mergeCell ref="B52:J52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C0DC7-FA87-4305-8AA4-05379D892C4C}">
  <dimension ref="A1:BE53"/>
  <sheetViews>
    <sheetView zoomScale="70" zoomScaleNormal="70" workbookViewId="0">
      <pane xSplit="1" ySplit="4" topLeftCell="T11" activePane="bottomRight" state="frozen"/>
      <selection pane="topRight" activeCell="B1" sqref="B1"/>
      <selection pane="bottomLeft" activeCell="A5" sqref="A5"/>
      <selection pane="bottomRight" activeCell="AT29" sqref="AT29"/>
    </sheetView>
    <sheetView tabSelected="1" topLeftCell="A2" zoomScale="96" workbookViewId="1">
      <selection activeCell="L50" sqref="L50"/>
    </sheetView>
  </sheetViews>
  <sheetFormatPr baseColWidth="10" defaultRowHeight="14.4" outlineLevelCol="1" x14ac:dyDescent="0.3"/>
  <cols>
    <col min="1" max="1" width="41.88671875" customWidth="1"/>
    <col min="2" max="2" width="7.77734375" customWidth="1"/>
    <col min="3" max="3" width="9.88671875" customWidth="1"/>
    <col min="4" max="4" width="10.77734375" bestFit="1" customWidth="1"/>
    <col min="5" max="5" width="9.44140625" customWidth="1"/>
    <col min="6" max="6" width="10.21875" customWidth="1"/>
    <col min="7" max="7" width="10.77734375" bestFit="1" customWidth="1"/>
    <col min="8" max="8" width="8.88671875" customWidth="1"/>
    <col min="9" max="9" width="11.44140625" customWidth="1"/>
    <col min="10" max="10" width="15.44140625" customWidth="1"/>
    <col min="11" max="11" width="10.77734375" style="98" customWidth="1"/>
    <col min="12" max="14" width="3" style="98" customWidth="1"/>
    <col min="15" max="15" width="2.44140625" style="98" customWidth="1"/>
    <col min="16" max="16" width="2" style="98" customWidth="1"/>
    <col min="17" max="17" width="9.6640625" style="98" customWidth="1"/>
    <col min="18" max="18" width="7.33203125" style="98" hidden="1" customWidth="1" outlineLevel="1"/>
    <col min="19" max="19" width="8.33203125" style="98" hidden="1" customWidth="1" outlineLevel="1"/>
    <col min="20" max="23" width="7.33203125" style="98" hidden="1" customWidth="1" outlineLevel="1"/>
    <col min="24" max="24" width="8.33203125" style="98" hidden="1" customWidth="1" outlineLevel="1"/>
    <col min="25" max="25" width="8.21875" style="98" hidden="1" customWidth="1" outlineLevel="1"/>
    <col min="26" max="28" width="7.33203125" style="98" hidden="1" customWidth="1" outlineLevel="1"/>
    <col min="29" max="29" width="7.77734375" style="98" hidden="1" customWidth="1" outlineLevel="1"/>
    <col min="30" max="30" width="7.44140625" style="98" hidden="1" customWidth="1" outlineLevel="1"/>
    <col min="31" max="31" width="8.5546875" style="98" hidden="1" customWidth="1" outlineLevel="1"/>
    <col min="32" max="32" width="6.77734375" style="98" hidden="1" customWidth="1" outlineLevel="1"/>
    <col min="33" max="35" width="7.6640625" style="98" hidden="1" customWidth="1" outlineLevel="1"/>
    <col min="36" max="36" width="5.77734375" bestFit="1" customWidth="1" collapsed="1"/>
    <col min="37" max="37" width="10" bestFit="1" customWidth="1"/>
    <col min="38" max="38" width="11.88671875" bestFit="1" customWidth="1"/>
    <col min="42" max="42" width="8.21875" bestFit="1" customWidth="1"/>
    <col min="43" max="43" width="10.33203125" customWidth="1"/>
    <col min="44" max="44" width="7.21875" bestFit="1" customWidth="1"/>
    <col min="45" max="45" width="9.88671875" bestFit="1" customWidth="1"/>
    <col min="46" max="46" width="7.77734375" bestFit="1" customWidth="1"/>
    <col min="47" max="47" width="7.44140625" bestFit="1" customWidth="1"/>
    <col min="48" max="48" width="8.5546875" bestFit="1" customWidth="1"/>
    <col min="49" max="49" width="6.77734375" bestFit="1" customWidth="1"/>
    <col min="50" max="51" width="7.6640625" bestFit="1" customWidth="1"/>
    <col min="52" max="52" width="7.109375" bestFit="1" customWidth="1"/>
    <col min="53" max="53" width="8.33203125" bestFit="1" customWidth="1"/>
    <col min="54" max="54" width="8.21875" bestFit="1" customWidth="1"/>
    <col min="55" max="55" width="6.77734375" bestFit="1" customWidth="1"/>
    <col min="56" max="57" width="7.21875" bestFit="1" customWidth="1"/>
  </cols>
  <sheetData>
    <row r="1" spans="1:57" ht="15" thickBot="1" x14ac:dyDescent="0.35">
      <c r="K1" s="98">
        <f>SUM(K4:K35)</f>
        <v>516</v>
      </c>
      <c r="Q1" s="109" t="s">
        <v>193</v>
      </c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1"/>
      <c r="AF1" s="115"/>
      <c r="AG1" s="115"/>
      <c r="AH1" s="115"/>
      <c r="AI1" s="115"/>
      <c r="AJ1" s="2" t="s">
        <v>167</v>
      </c>
      <c r="AK1" s="2"/>
      <c r="AM1">
        <f>SUM(AM5:AM35)</f>
        <v>755.31</v>
      </c>
      <c r="AN1">
        <f ca="1">SUM(AN5:AN35)</f>
        <v>715.66</v>
      </c>
      <c r="AO1">
        <f ca="1">SUM(AO5:AO35)</f>
        <v>660.74</v>
      </c>
      <c r="AP1" s="103" t="s">
        <v>196</v>
      </c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</row>
    <row r="2" spans="1:57" ht="48.6" customHeight="1" thickBot="1" x14ac:dyDescent="0.35">
      <c r="A2" s="74"/>
      <c r="B2" s="153" t="s">
        <v>167</v>
      </c>
      <c r="C2" s="153"/>
      <c r="D2" s="153"/>
      <c r="E2" s="154"/>
      <c r="F2" s="155" t="s">
        <v>169</v>
      </c>
      <c r="G2" s="153"/>
      <c r="H2" s="153"/>
      <c r="I2" s="154"/>
      <c r="J2" s="58" t="s">
        <v>173</v>
      </c>
      <c r="K2" s="99" t="s">
        <v>184</v>
      </c>
      <c r="L2" s="100" t="s">
        <v>185</v>
      </c>
      <c r="M2" s="119">
        <v>44075</v>
      </c>
      <c r="N2" s="119">
        <v>44105</v>
      </c>
      <c r="O2" s="120">
        <v>44136</v>
      </c>
      <c r="P2" s="121">
        <v>44166</v>
      </c>
      <c r="Q2" s="107">
        <v>44197</v>
      </c>
      <c r="R2" s="107">
        <v>44228</v>
      </c>
      <c r="S2" s="107">
        <v>44256</v>
      </c>
      <c r="T2" s="107">
        <v>44287</v>
      </c>
      <c r="U2" s="107">
        <v>44317</v>
      </c>
      <c r="V2" s="107">
        <v>44348</v>
      </c>
      <c r="W2" s="107">
        <v>44378</v>
      </c>
      <c r="X2" s="107">
        <v>44409</v>
      </c>
      <c r="Y2" s="107">
        <v>44440</v>
      </c>
      <c r="Z2" s="107">
        <v>44470</v>
      </c>
      <c r="AA2" s="107">
        <v>44501</v>
      </c>
      <c r="AB2" s="107">
        <v>44531</v>
      </c>
      <c r="AC2" s="108">
        <v>44562</v>
      </c>
      <c r="AD2" s="108">
        <v>44593</v>
      </c>
      <c r="AE2" s="112">
        <v>44621</v>
      </c>
      <c r="AF2" s="108">
        <v>44652</v>
      </c>
      <c r="AG2" s="112">
        <v>44682</v>
      </c>
      <c r="AH2" s="108">
        <v>44713</v>
      </c>
      <c r="AI2" s="112">
        <v>44743</v>
      </c>
      <c r="AJ2" s="113" t="s">
        <v>191</v>
      </c>
      <c r="AK2" s="114" t="s">
        <v>192</v>
      </c>
      <c r="AL2" s="163" t="s">
        <v>211</v>
      </c>
      <c r="AM2" s="138" t="s">
        <v>195</v>
      </c>
      <c r="AN2" s="140" t="s">
        <v>194</v>
      </c>
      <c r="AO2" s="140" t="s">
        <v>218</v>
      </c>
      <c r="AP2" s="119">
        <v>44075</v>
      </c>
      <c r="AQ2" s="120">
        <v>44105</v>
      </c>
      <c r="AR2" s="120">
        <v>44136</v>
      </c>
      <c r="AS2" s="121">
        <v>44166</v>
      </c>
      <c r="AT2" s="141">
        <v>44197</v>
      </c>
      <c r="AU2" s="129">
        <v>44228</v>
      </c>
      <c r="AV2" s="129">
        <v>44256</v>
      </c>
      <c r="AW2" s="129">
        <v>44287</v>
      </c>
      <c r="AX2" s="129">
        <v>44317</v>
      </c>
      <c r="AY2" s="129">
        <v>44348</v>
      </c>
      <c r="AZ2" s="129">
        <v>44378</v>
      </c>
      <c r="BA2" s="129">
        <v>44409</v>
      </c>
      <c r="BB2" s="129">
        <v>44440</v>
      </c>
      <c r="BC2" s="129">
        <v>44470</v>
      </c>
      <c r="BD2" s="129">
        <v>44501</v>
      </c>
      <c r="BE2" s="130">
        <v>44531</v>
      </c>
    </row>
    <row r="3" spans="1:57" x14ac:dyDescent="0.3">
      <c r="A3" s="75" t="s">
        <v>57</v>
      </c>
      <c r="B3" s="44">
        <v>2020</v>
      </c>
      <c r="C3" s="46">
        <v>2021</v>
      </c>
      <c r="D3" s="49">
        <v>2021</v>
      </c>
      <c r="E3" s="76">
        <v>2021</v>
      </c>
      <c r="F3" s="65">
        <v>2021</v>
      </c>
      <c r="G3" s="51">
        <v>2021</v>
      </c>
      <c r="H3" s="52">
        <v>2021</v>
      </c>
      <c r="I3" s="66">
        <v>2022</v>
      </c>
      <c r="AJ3" s="122"/>
      <c r="AK3" s="124"/>
      <c r="AM3" s="122"/>
      <c r="AN3" s="123"/>
      <c r="AO3" s="123"/>
      <c r="AP3" s="77"/>
      <c r="AQ3" s="116"/>
      <c r="AR3" s="116"/>
      <c r="AS3" s="125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4"/>
    </row>
    <row r="4" spans="1:57" x14ac:dyDescent="0.3">
      <c r="A4" s="77">
        <v>0</v>
      </c>
      <c r="B4" s="45" t="s">
        <v>165</v>
      </c>
      <c r="C4" s="48" t="s">
        <v>171</v>
      </c>
      <c r="D4" s="50" t="s">
        <v>168</v>
      </c>
      <c r="E4" s="78" t="s">
        <v>172</v>
      </c>
      <c r="F4" s="67" t="s">
        <v>171</v>
      </c>
      <c r="G4" s="50" t="s">
        <v>168</v>
      </c>
      <c r="H4" s="57" t="s">
        <v>172</v>
      </c>
      <c r="I4" s="68"/>
      <c r="AJ4" s="122"/>
      <c r="AK4" s="124"/>
      <c r="AM4" s="122"/>
      <c r="AN4" s="123"/>
      <c r="AO4" s="123"/>
      <c r="AP4" s="77"/>
      <c r="AQ4" s="116"/>
      <c r="AR4" s="116"/>
      <c r="AS4" s="125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4"/>
    </row>
    <row r="5" spans="1:57" x14ac:dyDescent="0.3">
      <c r="A5" s="92" t="s">
        <v>23</v>
      </c>
      <c r="B5" s="59">
        <v>761.39262499999995</v>
      </c>
      <c r="C5" s="59">
        <v>801.60737500000005</v>
      </c>
      <c r="D5" s="59">
        <v>702</v>
      </c>
      <c r="E5" s="80">
        <f>+(C5+D5)/2</f>
        <v>751.80368750000002</v>
      </c>
      <c r="F5" s="69">
        <v>0</v>
      </c>
      <c r="G5" s="47">
        <v>0</v>
      </c>
      <c r="H5" s="61">
        <v>0</v>
      </c>
      <c r="I5" s="70">
        <v>0</v>
      </c>
      <c r="J5" t="s">
        <v>181</v>
      </c>
      <c r="K5" s="98">
        <f t="shared" ref="K5:K35" si="0">SUM(Q5:AB5)</f>
        <v>0</v>
      </c>
      <c r="L5" s="98" t="s">
        <v>186</v>
      </c>
      <c r="AJ5" s="122"/>
      <c r="AK5" s="124"/>
      <c r="AM5" s="122" t="str">
        <f>IF(AJ5&lt;&gt;"",SUM(Q5:AE5)*AJ5,"")</f>
        <v/>
      </c>
      <c r="AN5" s="123" t="str">
        <f>IF(SUM(AQ5:BE5)&gt;0,SUM(AQ5:BE5),"")</f>
        <v/>
      </c>
      <c r="AO5" s="123"/>
      <c r="AP5" s="77"/>
      <c r="AQ5" s="116"/>
      <c r="AR5" s="116"/>
      <c r="AS5" s="125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4"/>
    </row>
    <row r="6" spans="1:57" x14ac:dyDescent="0.3">
      <c r="A6" s="79" t="s">
        <v>54</v>
      </c>
      <c r="B6" s="59">
        <v>12.607375000000001</v>
      </c>
      <c r="C6" s="59">
        <v>0</v>
      </c>
      <c r="D6" s="59">
        <v>0</v>
      </c>
      <c r="E6" s="80">
        <f t="shared" ref="E6:E35" si="1">+(C6+D6)/2</f>
        <v>0</v>
      </c>
      <c r="F6" s="69">
        <v>0</v>
      </c>
      <c r="G6" s="47">
        <v>0</v>
      </c>
      <c r="H6" s="61">
        <v>0</v>
      </c>
      <c r="I6" s="70">
        <v>0</v>
      </c>
      <c r="K6" s="98">
        <f t="shared" si="0"/>
        <v>0</v>
      </c>
      <c r="L6" s="98" t="s">
        <v>186</v>
      </c>
      <c r="AJ6" s="122"/>
      <c r="AK6" s="124"/>
      <c r="AM6" s="122" t="str">
        <f t="shared" ref="AM6:AM7" si="2">IF(AJ6&lt;&gt;"",SUM(Q6:AE6)*AJ6,"")</f>
        <v/>
      </c>
      <c r="AN6" s="123" t="str">
        <f t="shared" ref="AN6:AN35" si="3">IF(SUM(AQ6:BE6)&gt;0,SUM(AQ6:BE6),"")</f>
        <v/>
      </c>
      <c r="AO6" s="123"/>
      <c r="AP6" s="77"/>
      <c r="AQ6" s="116"/>
      <c r="AR6" s="116"/>
      <c r="AS6" s="125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4"/>
    </row>
    <row r="7" spans="1:57" x14ac:dyDescent="0.3">
      <c r="A7" s="92" t="s">
        <v>29</v>
      </c>
      <c r="B7" s="59">
        <v>0</v>
      </c>
      <c r="C7" s="59">
        <v>-100</v>
      </c>
      <c r="D7" s="59">
        <v>-100</v>
      </c>
      <c r="E7" s="80">
        <f t="shared" si="1"/>
        <v>-100</v>
      </c>
      <c r="F7" s="69">
        <v>0</v>
      </c>
      <c r="G7" s="47">
        <v>0</v>
      </c>
      <c r="H7" s="61">
        <v>0</v>
      </c>
      <c r="I7" s="70">
        <v>0</v>
      </c>
      <c r="K7" s="98">
        <f t="shared" si="0"/>
        <v>0</v>
      </c>
      <c r="L7" s="98" t="s">
        <v>186</v>
      </c>
      <c r="AJ7" s="122"/>
      <c r="AK7" s="124"/>
      <c r="AM7" s="122" t="str">
        <f t="shared" si="2"/>
        <v/>
      </c>
      <c r="AN7" s="123" t="str">
        <f t="shared" si="3"/>
        <v/>
      </c>
      <c r="AO7" s="123"/>
      <c r="AP7" s="77"/>
      <c r="AQ7" s="116"/>
      <c r="AR7" s="116"/>
      <c r="AS7" s="125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4"/>
    </row>
    <row r="8" spans="1:57" x14ac:dyDescent="0.3">
      <c r="A8" s="83" t="s">
        <v>31</v>
      </c>
      <c r="B8" s="59">
        <v>0</v>
      </c>
      <c r="C8" s="59">
        <v>32</v>
      </c>
      <c r="D8" s="59">
        <v>32</v>
      </c>
      <c r="E8" s="80">
        <f t="shared" si="1"/>
        <v>32</v>
      </c>
      <c r="F8" s="69">
        <v>42.10526315789474</v>
      </c>
      <c r="G8" s="69">
        <v>42.10526315789474</v>
      </c>
      <c r="H8" s="93">
        <v>42.10526315789474</v>
      </c>
      <c r="I8" s="69">
        <v>42.10526315789474</v>
      </c>
      <c r="J8" t="s">
        <v>182</v>
      </c>
      <c r="K8" s="98">
        <f t="shared" si="0"/>
        <v>33</v>
      </c>
      <c r="L8" s="98" t="s">
        <v>190</v>
      </c>
      <c r="Q8" s="117"/>
      <c r="R8" s="117"/>
      <c r="S8" s="117"/>
      <c r="T8" s="117"/>
      <c r="U8" s="117"/>
      <c r="V8" s="117"/>
      <c r="W8" s="117"/>
      <c r="X8" s="117"/>
      <c r="Y8" s="117"/>
      <c r="Z8" s="117">
        <v>16.5</v>
      </c>
      <c r="AA8" s="117">
        <v>16.5</v>
      </c>
      <c r="AB8" s="117"/>
      <c r="AC8" s="117"/>
      <c r="AD8" s="117"/>
      <c r="AE8" s="117"/>
      <c r="AF8" s="117"/>
      <c r="AG8" s="117"/>
      <c r="AH8" s="117"/>
      <c r="AI8" s="131"/>
      <c r="AJ8" s="79">
        <v>1.3</v>
      </c>
      <c r="AK8" s="133">
        <v>12</v>
      </c>
      <c r="AM8" s="122">
        <f>IF(AJ8&lt;&gt;"",SUM(Q8:AG8)*AJ8,"")</f>
        <v>42.9</v>
      </c>
      <c r="AN8" s="123">
        <f t="shared" ca="1" si="3"/>
        <v>42.9</v>
      </c>
      <c r="AO8" s="123">
        <f ca="1">SUM(AT8:BE8)</f>
        <v>42.9</v>
      </c>
      <c r="AP8" s="77">
        <f ca="1">IF($AM8&gt;0,OFFSET(M8,0,ROUNDUP($AK8/4,0))*$AJ8,"")</f>
        <v>0</v>
      </c>
      <c r="AQ8" s="116">
        <f ca="1">IF($AM8&gt;0,OFFSET(N8,0,ROUNDUP($AK8/4,0))*$AJ8,"")</f>
        <v>0</v>
      </c>
      <c r="AR8" s="116">
        <f ca="1">IF($AM8&gt;0,OFFSET(O8,0,ROUNDUP($AK8/4,0))*$AJ8,"")</f>
        <v>0</v>
      </c>
      <c r="AS8" s="125">
        <f ca="1">IF($AM8&gt;0,OFFSET(P8,0,ROUNDUP($AK8/4,0))*$AJ8,"")</f>
        <v>0</v>
      </c>
      <c r="AT8" s="142">
        <f ca="1">IF($AM8&gt;0,OFFSET(Q8,0,ROUNDUP($AK8/4,0))*$AJ8,"")</f>
        <v>0</v>
      </c>
      <c r="AU8" s="116">
        <f ca="1">IF($AM8&gt;0,OFFSET(R8,0,ROUNDUP($AK8/4,0))*$AJ8,"")</f>
        <v>0</v>
      </c>
      <c r="AV8" s="116">
        <f ca="1">IF($AM8&gt;0,OFFSET(S8,0,ROUNDUP($AK8/4,0))*$AJ8,"")</f>
        <v>0</v>
      </c>
      <c r="AW8" s="116">
        <f ca="1">IF($AM8&gt;0,OFFSET(T8,0,ROUNDUP($AK8/4,0))*$AJ8,"")</f>
        <v>0</v>
      </c>
      <c r="AX8" s="116">
        <f ca="1">IF($AM8&gt;0,OFFSET(U8,0,ROUNDUP($AK8/4,0))*$AJ8,"")</f>
        <v>0</v>
      </c>
      <c r="AY8" s="116">
        <f ca="1">IF($AM8&gt;0,OFFSET(V8,0,ROUNDUP($AK8/4,0))*$AJ8,"")</f>
        <v>0</v>
      </c>
      <c r="AZ8" s="116">
        <f ca="1">IF($AM8&gt;0,OFFSET(W8,0,ROUNDUP($AK8/4,0))*$AJ8,"")</f>
        <v>21.45</v>
      </c>
      <c r="BA8" s="116">
        <f ca="1">IF($AM8&gt;0,OFFSET(X8,0,ROUNDUP($AK8/4,0))*$AJ8,"")</f>
        <v>21.45</v>
      </c>
      <c r="BB8" s="116">
        <f ca="1">IF($AM8&gt;0,OFFSET(Y8,0,ROUNDUP($AK8/4,0))*$AJ8,"")</f>
        <v>0</v>
      </c>
      <c r="BC8" s="116">
        <f ca="1">IF($AM8&gt;0,OFFSET(Z8,0,ROUNDUP($AK8/4,0))*$AJ8,"")</f>
        <v>0</v>
      </c>
      <c r="BD8" s="116">
        <f ca="1">IF($AM8&gt;0,OFFSET(AA8,0,ROUNDUP($AK8/4,0))*$AJ8,"")</f>
        <v>0</v>
      </c>
      <c r="BE8" s="125">
        <f ca="1">IF($AM8&gt;0,OFFSET(AB8,0,ROUNDUP($AK8/4,0))*$AJ8,"")</f>
        <v>0</v>
      </c>
    </row>
    <row r="9" spans="1:57" x14ac:dyDescent="0.3">
      <c r="A9" s="81" t="s">
        <v>30</v>
      </c>
      <c r="B9" s="59">
        <v>106</v>
      </c>
      <c r="C9" s="59">
        <v>49</v>
      </c>
      <c r="D9" s="59">
        <v>49</v>
      </c>
      <c r="E9" s="80">
        <f t="shared" si="1"/>
        <v>49</v>
      </c>
      <c r="F9" s="69">
        <v>0</v>
      </c>
      <c r="G9" s="47">
        <v>0</v>
      </c>
      <c r="H9" s="61">
        <v>0</v>
      </c>
      <c r="I9" s="70">
        <v>0</v>
      </c>
      <c r="K9" s="98">
        <f t="shared" si="0"/>
        <v>0</v>
      </c>
      <c r="L9" s="98" t="s">
        <v>186</v>
      </c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31"/>
      <c r="AJ9" s="79"/>
      <c r="AK9" s="133"/>
      <c r="AM9" s="122" t="str">
        <f t="shared" ref="AM9:AM35" si="4">IF(AJ9&lt;&gt;"",SUM(Q9:AG9)*AJ9,"")</f>
        <v/>
      </c>
      <c r="AN9" s="123" t="str">
        <f t="shared" ca="1" si="3"/>
        <v/>
      </c>
      <c r="AO9" s="123">
        <f t="shared" ref="AO9:AO31" ca="1" si="5">SUM(AT9:BE9)</f>
        <v>0</v>
      </c>
      <c r="AP9" s="77">
        <f ca="1">IF($AM9&gt;0,OFFSET(M9,0,ROUNDUP($AK9/4,0))*$AJ9,"")</f>
        <v>0</v>
      </c>
      <c r="AQ9" s="116">
        <f ca="1">IF($AM9&gt;0,OFFSET(N9,0,ROUNDUP($AK9/4,0))*$AJ9,"")</f>
        <v>0</v>
      </c>
      <c r="AR9" s="116">
        <f ca="1">IF($AM9&gt;0,OFFSET(O9,0,ROUNDUP($AK9/4,0))*$AJ9,"")</f>
        <v>0</v>
      </c>
      <c r="AS9" s="125">
        <f ca="1">IF($AM9&gt;0,OFFSET(P9,0,ROUNDUP($AK9/4,0))*$AJ9,"")</f>
        <v>0</v>
      </c>
      <c r="AT9" s="142">
        <f ca="1">IF($AM9&gt;0,OFFSET(Q9,0,ROUNDUP($AK9/4,0))*$AJ9,"")</f>
        <v>0</v>
      </c>
      <c r="AU9" s="116">
        <f ca="1">IF($AM9&gt;0,OFFSET(R9,0,ROUNDUP($AK9/4,0))*$AJ9,"")</f>
        <v>0</v>
      </c>
      <c r="AV9" s="116">
        <f ca="1">IF($AM9&gt;0,OFFSET(S9,0,ROUNDUP($AK9/4,0))*$AJ9,"")</f>
        <v>0</v>
      </c>
      <c r="AW9" s="116">
        <f ca="1">IF($AM9&gt;0,OFFSET(T9,0,ROUNDUP($AK9/4,0))*$AJ9,"")</f>
        <v>0</v>
      </c>
      <c r="AX9" s="116">
        <f ca="1">IF($AM9&gt;0,OFFSET(U9,0,ROUNDUP($AK9/4,0))*$AJ9,"")</f>
        <v>0</v>
      </c>
      <c r="AY9" s="116">
        <f ca="1">IF($AM9&gt;0,OFFSET(V9,0,ROUNDUP($AK9/4,0))*$AJ9,"")</f>
        <v>0</v>
      </c>
      <c r="AZ9" s="116">
        <f ca="1">IF($AM9&gt;0,OFFSET(W9,0,ROUNDUP($AK9/4,0))*$AJ9,"")</f>
        <v>0</v>
      </c>
      <c r="BA9" s="116">
        <f ca="1">IF($AM9&gt;0,OFFSET(X9,0,ROUNDUP($AK9/4,0))*$AJ9,"")</f>
        <v>0</v>
      </c>
      <c r="BB9" s="116">
        <f ca="1">IF($AM9&gt;0,OFFSET(Y9,0,ROUNDUP($AK9/4,0))*$AJ9,"")</f>
        <v>0</v>
      </c>
      <c r="BC9" s="116">
        <f ca="1">IF($AM9&gt;0,OFFSET(Z9,0,ROUNDUP($AK9/4,0))*$AJ9,"")</f>
        <v>0</v>
      </c>
      <c r="BD9" s="116">
        <f ca="1">IF($AM9&gt;0,OFFSET(AA9,0,ROUNDUP($AK9/4,0))*$AJ9,"")</f>
        <v>0</v>
      </c>
      <c r="BE9" s="125">
        <f ca="1">IF($AM9&gt;0,OFFSET(AB9,0,ROUNDUP($AK9/4,0))*$AJ9,"")</f>
        <v>0</v>
      </c>
    </row>
    <row r="10" spans="1:57" ht="28.8" x14ac:dyDescent="0.3">
      <c r="A10" s="82" t="s">
        <v>106</v>
      </c>
      <c r="B10" s="59">
        <v>0</v>
      </c>
      <c r="C10" s="59">
        <v>0</v>
      </c>
      <c r="D10" s="59">
        <v>0</v>
      </c>
      <c r="E10" s="80">
        <f t="shared" si="1"/>
        <v>0</v>
      </c>
      <c r="F10" s="69">
        <v>0</v>
      </c>
      <c r="G10" s="47">
        <v>0</v>
      </c>
      <c r="H10" s="61">
        <v>0</v>
      </c>
      <c r="I10" s="70">
        <v>132.37113402061854</v>
      </c>
      <c r="K10" s="98">
        <f t="shared" si="0"/>
        <v>0</v>
      </c>
      <c r="L10" s="98" t="s">
        <v>186</v>
      </c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31"/>
      <c r="AJ10" s="79"/>
      <c r="AK10" s="133"/>
      <c r="AM10" s="122" t="str">
        <f t="shared" si="4"/>
        <v/>
      </c>
      <c r="AN10" s="123" t="str">
        <f t="shared" ca="1" si="3"/>
        <v/>
      </c>
      <c r="AO10" s="123">
        <f t="shared" ca="1" si="5"/>
        <v>0</v>
      </c>
      <c r="AP10" s="77">
        <f ca="1">IF($AM10&gt;0,OFFSET(M10,0,ROUNDUP($AK10/4,0))*$AJ10,"")</f>
        <v>0</v>
      </c>
      <c r="AQ10" s="116">
        <f ca="1">IF($AM10&gt;0,OFFSET(N10,0,ROUNDUP($AK10/4,0))*$AJ10,"")</f>
        <v>0</v>
      </c>
      <c r="AR10" s="116">
        <f ca="1">IF($AM10&gt;0,OFFSET(O10,0,ROUNDUP($AK10/4,0))*$AJ10,"")</f>
        <v>0</v>
      </c>
      <c r="AS10" s="125">
        <f ca="1">IF($AM10&gt;0,OFFSET(P10,0,ROUNDUP($AK10/4,0))*$AJ10,"")</f>
        <v>0</v>
      </c>
      <c r="AT10" s="142">
        <f ca="1">IF($AM10&gt;0,OFFSET(Q10,0,ROUNDUP($AK10/4,0))*$AJ10,"")</f>
        <v>0</v>
      </c>
      <c r="AU10" s="116">
        <f ca="1">IF($AM10&gt;0,OFFSET(R10,0,ROUNDUP($AK10/4,0))*$AJ10,"")</f>
        <v>0</v>
      </c>
      <c r="AV10" s="116">
        <f ca="1">IF($AM10&gt;0,OFFSET(S10,0,ROUNDUP($AK10/4,0))*$AJ10,"")</f>
        <v>0</v>
      </c>
      <c r="AW10" s="116">
        <f ca="1">IF($AM10&gt;0,OFFSET(T10,0,ROUNDUP($AK10/4,0))*$AJ10,"")</f>
        <v>0</v>
      </c>
      <c r="AX10" s="116">
        <f ca="1">IF($AM10&gt;0,OFFSET(U10,0,ROUNDUP($AK10/4,0))*$AJ10,"")</f>
        <v>0</v>
      </c>
      <c r="AY10" s="116">
        <f ca="1">IF($AM10&gt;0,OFFSET(V10,0,ROUNDUP($AK10/4,0))*$AJ10,"")</f>
        <v>0</v>
      </c>
      <c r="AZ10" s="116">
        <f ca="1">IF($AM10&gt;0,OFFSET(W10,0,ROUNDUP($AK10/4,0))*$AJ10,"")</f>
        <v>0</v>
      </c>
      <c r="BA10" s="116">
        <f ca="1">IF($AM10&gt;0,OFFSET(X10,0,ROUNDUP($AK10/4,0))*$AJ10,"")</f>
        <v>0</v>
      </c>
      <c r="BB10" s="116">
        <f ca="1">IF($AM10&gt;0,OFFSET(Y10,0,ROUNDUP($AK10/4,0))*$AJ10,"")</f>
        <v>0</v>
      </c>
      <c r="BC10" s="116">
        <f ca="1">IF($AM10&gt;0,OFFSET(Z10,0,ROUNDUP($AK10/4,0))*$AJ10,"")</f>
        <v>0</v>
      </c>
      <c r="BD10" s="116">
        <f ca="1">IF($AM10&gt;0,OFFSET(AA10,0,ROUNDUP($AK10/4,0))*$AJ10,"")</f>
        <v>0</v>
      </c>
      <c r="BE10" s="125">
        <f ca="1">IF($AM10&gt;0,OFFSET(AB10,0,ROUNDUP($AK10/4,0))*$AJ10,"")</f>
        <v>0</v>
      </c>
    </row>
    <row r="11" spans="1:57" x14ac:dyDescent="0.3">
      <c r="A11" s="79" t="s">
        <v>0</v>
      </c>
      <c r="B11" s="60">
        <v>245</v>
      </c>
      <c r="C11" s="59">
        <v>250</v>
      </c>
      <c r="D11" s="59">
        <v>226.62499999999997</v>
      </c>
      <c r="E11" s="80">
        <f t="shared" si="1"/>
        <v>238.3125</v>
      </c>
      <c r="F11" s="69">
        <v>0</v>
      </c>
      <c r="G11" s="47">
        <v>0</v>
      </c>
      <c r="H11" s="61">
        <v>0</v>
      </c>
      <c r="I11" s="70">
        <v>0</v>
      </c>
      <c r="K11" s="98">
        <f t="shared" si="0"/>
        <v>0</v>
      </c>
      <c r="L11" s="98" t="s">
        <v>186</v>
      </c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31"/>
      <c r="AJ11" s="79"/>
      <c r="AK11" s="133"/>
      <c r="AM11" s="122" t="str">
        <f t="shared" si="4"/>
        <v/>
      </c>
      <c r="AN11" s="123" t="str">
        <f t="shared" ca="1" si="3"/>
        <v/>
      </c>
      <c r="AO11" s="123">
        <f t="shared" ca="1" si="5"/>
        <v>0</v>
      </c>
      <c r="AP11" s="77">
        <f ca="1">IF($AM11&gt;0,OFFSET(M11,0,ROUNDUP($AK11/4,0))*$AJ11,"")</f>
        <v>0</v>
      </c>
      <c r="AQ11" s="116">
        <f ca="1">IF($AM11&gt;0,OFFSET(N11,0,ROUNDUP($AK11/4,0))*$AJ11,"")</f>
        <v>0</v>
      </c>
      <c r="AR11" s="116">
        <f ca="1">IF($AM11&gt;0,OFFSET(O11,0,ROUNDUP($AK11/4,0))*$AJ11,"")</f>
        <v>0</v>
      </c>
      <c r="AS11" s="125">
        <f ca="1">IF($AM11&gt;0,OFFSET(P11,0,ROUNDUP($AK11/4,0))*$AJ11,"")</f>
        <v>0</v>
      </c>
      <c r="AT11" s="142">
        <f ca="1">IF($AM11&gt;0,OFFSET(Q11,0,ROUNDUP($AK11/4,0))*$AJ11,"")</f>
        <v>0</v>
      </c>
      <c r="AU11" s="116">
        <f ca="1">IF($AM11&gt;0,OFFSET(R11,0,ROUNDUP($AK11/4,0))*$AJ11,"")</f>
        <v>0</v>
      </c>
      <c r="AV11" s="116">
        <f ca="1">IF($AM11&gt;0,OFFSET(S11,0,ROUNDUP($AK11/4,0))*$AJ11,"")</f>
        <v>0</v>
      </c>
      <c r="AW11" s="116">
        <f ca="1">IF($AM11&gt;0,OFFSET(T11,0,ROUNDUP($AK11/4,0))*$AJ11,"")</f>
        <v>0</v>
      </c>
      <c r="AX11" s="116">
        <f ca="1">IF($AM11&gt;0,OFFSET(U11,0,ROUNDUP($AK11/4,0))*$AJ11,"")</f>
        <v>0</v>
      </c>
      <c r="AY11" s="116">
        <f ca="1">IF($AM11&gt;0,OFFSET(V11,0,ROUNDUP($AK11/4,0))*$AJ11,"")</f>
        <v>0</v>
      </c>
      <c r="AZ11" s="116">
        <f ca="1">IF($AM11&gt;0,OFFSET(W11,0,ROUNDUP($AK11/4,0))*$AJ11,"")</f>
        <v>0</v>
      </c>
      <c r="BA11" s="116">
        <f ca="1">IF($AM11&gt;0,OFFSET(X11,0,ROUNDUP($AK11/4,0))*$AJ11,"")</f>
        <v>0</v>
      </c>
      <c r="BB11" s="116">
        <f ca="1">IF($AM11&gt;0,OFFSET(Y11,0,ROUNDUP($AK11/4,0))*$AJ11,"")</f>
        <v>0</v>
      </c>
      <c r="BC11" s="116">
        <f ca="1">IF($AM11&gt;0,OFFSET(Z11,0,ROUNDUP($AK11/4,0))*$AJ11,"")</f>
        <v>0</v>
      </c>
      <c r="BD11" s="116">
        <f ca="1">IF($AM11&gt;0,OFFSET(AA11,0,ROUNDUP($AK11/4,0))*$AJ11,"")</f>
        <v>0</v>
      </c>
      <c r="BE11" s="125">
        <f ca="1">IF($AM11&gt;0,OFFSET(AB11,0,ROUNDUP($AK11/4,0))*$AJ11,"")</f>
        <v>0</v>
      </c>
    </row>
    <row r="12" spans="1:57" x14ac:dyDescent="0.3">
      <c r="A12" s="79" t="s">
        <v>22</v>
      </c>
      <c r="B12" s="59">
        <v>2</v>
      </c>
      <c r="C12" s="59">
        <v>10</v>
      </c>
      <c r="D12" s="59">
        <v>0</v>
      </c>
      <c r="E12" s="80">
        <f t="shared" si="1"/>
        <v>5</v>
      </c>
      <c r="F12" s="69">
        <v>0</v>
      </c>
      <c r="G12" s="47">
        <v>0</v>
      </c>
      <c r="H12" s="61">
        <v>0</v>
      </c>
      <c r="I12" s="70">
        <v>0</v>
      </c>
      <c r="K12" s="98">
        <f t="shared" si="0"/>
        <v>0</v>
      </c>
      <c r="L12" s="98" t="s">
        <v>186</v>
      </c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31"/>
      <c r="AJ12" s="79"/>
      <c r="AK12" s="133"/>
      <c r="AM12" s="122" t="str">
        <f t="shared" si="4"/>
        <v/>
      </c>
      <c r="AN12" s="123" t="str">
        <f t="shared" ca="1" si="3"/>
        <v/>
      </c>
      <c r="AO12" s="123">
        <f t="shared" ca="1" si="5"/>
        <v>0</v>
      </c>
      <c r="AP12" s="77">
        <f ca="1">IF($AM12&gt;0,OFFSET(M12,0,ROUNDUP($AK12/4,0))*$AJ12,"")</f>
        <v>0</v>
      </c>
      <c r="AQ12" s="116">
        <f ca="1">IF($AM12&gt;0,OFFSET(N12,0,ROUNDUP($AK12/4,0))*$AJ12,"")</f>
        <v>0</v>
      </c>
      <c r="AR12" s="116">
        <f ca="1">IF($AM12&gt;0,OFFSET(O12,0,ROUNDUP($AK12/4,0))*$AJ12,"")</f>
        <v>0</v>
      </c>
      <c r="AS12" s="125">
        <f ca="1">IF($AM12&gt;0,OFFSET(P12,0,ROUNDUP($AK12/4,0))*$AJ12,"")</f>
        <v>0</v>
      </c>
      <c r="AT12" s="142">
        <f ca="1">IF($AM12&gt;0,OFFSET(Q12,0,ROUNDUP($AK12/4,0))*$AJ12,"")</f>
        <v>0</v>
      </c>
      <c r="AU12" s="116">
        <f ca="1">IF($AM12&gt;0,OFFSET(R12,0,ROUNDUP($AK12/4,0))*$AJ12,"")</f>
        <v>0</v>
      </c>
      <c r="AV12" s="116">
        <f ca="1">IF($AM12&gt;0,OFFSET(S12,0,ROUNDUP($AK12/4,0))*$AJ12,"")</f>
        <v>0</v>
      </c>
      <c r="AW12" s="116">
        <f ca="1">IF($AM12&gt;0,OFFSET(T12,0,ROUNDUP($AK12/4,0))*$AJ12,"")</f>
        <v>0</v>
      </c>
      <c r="AX12" s="116">
        <f ca="1">IF($AM12&gt;0,OFFSET(U12,0,ROUNDUP($AK12/4,0))*$AJ12,"")</f>
        <v>0</v>
      </c>
      <c r="AY12" s="116">
        <f ca="1">IF($AM12&gt;0,OFFSET(V12,0,ROUNDUP($AK12/4,0))*$AJ12,"")</f>
        <v>0</v>
      </c>
      <c r="AZ12" s="116">
        <f ca="1">IF($AM12&gt;0,OFFSET(W12,0,ROUNDUP($AK12/4,0))*$AJ12,"")</f>
        <v>0</v>
      </c>
      <c r="BA12" s="116">
        <f ca="1">IF($AM12&gt;0,OFFSET(X12,0,ROUNDUP($AK12/4,0))*$AJ12,"")</f>
        <v>0</v>
      </c>
      <c r="BB12" s="116">
        <f ca="1">IF($AM12&gt;0,OFFSET(Y12,0,ROUNDUP($AK12/4,0))*$AJ12,"")</f>
        <v>0</v>
      </c>
      <c r="BC12" s="116">
        <f ca="1">IF($AM12&gt;0,OFFSET(Z12,0,ROUNDUP($AK12/4,0))*$AJ12,"")</f>
        <v>0</v>
      </c>
      <c r="BD12" s="116">
        <f ca="1">IF($AM12&gt;0,OFFSET(AA12,0,ROUNDUP($AK12/4,0))*$AJ12,"")</f>
        <v>0</v>
      </c>
      <c r="BE12" s="125">
        <f ca="1">IF($AM12&gt;0,OFFSET(AB12,0,ROUNDUP($AK12/4,0))*$AJ12,"")</f>
        <v>0</v>
      </c>
    </row>
    <row r="13" spans="1:57" x14ac:dyDescent="0.3">
      <c r="A13" s="79" t="s">
        <v>166</v>
      </c>
      <c r="B13" s="59">
        <v>27</v>
      </c>
      <c r="C13" s="59">
        <v>20</v>
      </c>
      <c r="D13" s="59">
        <v>20</v>
      </c>
      <c r="E13" s="80">
        <f t="shared" si="1"/>
        <v>20</v>
      </c>
      <c r="F13" s="69">
        <v>26.315789473684212</v>
      </c>
      <c r="G13" s="47">
        <v>26.315789473684212</v>
      </c>
      <c r="H13" s="61">
        <v>26.315789473684212</v>
      </c>
      <c r="I13" s="70">
        <v>38.041237113402062</v>
      </c>
      <c r="J13" s="3" t="s">
        <v>187</v>
      </c>
      <c r="K13" s="98">
        <f t="shared" si="0"/>
        <v>20</v>
      </c>
      <c r="L13" s="98" t="s">
        <v>190</v>
      </c>
      <c r="Q13" s="117"/>
      <c r="R13" s="117"/>
      <c r="S13" s="117"/>
      <c r="T13" s="117"/>
      <c r="U13" s="117"/>
      <c r="V13" s="117">
        <f>2*5</f>
        <v>10</v>
      </c>
      <c r="W13" s="117"/>
      <c r="X13" s="117"/>
      <c r="Y13" s="117"/>
      <c r="Z13" s="117">
        <f>2*5</f>
        <v>10</v>
      </c>
      <c r="AA13" s="117"/>
      <c r="AB13" s="117"/>
      <c r="AC13" s="117"/>
      <c r="AD13" s="117"/>
      <c r="AE13" s="117"/>
      <c r="AF13" s="117"/>
      <c r="AG13" s="117"/>
      <c r="AH13" s="117"/>
      <c r="AI13" s="131"/>
      <c r="AJ13" s="79">
        <v>1.3</v>
      </c>
      <c r="AK13" s="133">
        <v>12</v>
      </c>
      <c r="AM13" s="122">
        <f t="shared" si="4"/>
        <v>26</v>
      </c>
      <c r="AN13" s="123">
        <f t="shared" ca="1" si="3"/>
        <v>26</v>
      </c>
      <c r="AO13" s="123">
        <f t="shared" ca="1" si="5"/>
        <v>26</v>
      </c>
      <c r="AP13" s="77">
        <f ca="1">IF($AM13&gt;0,OFFSET(M13,0,ROUNDUP($AK13/4,0))*$AJ13,"")</f>
        <v>0</v>
      </c>
      <c r="AQ13" s="116">
        <f ca="1">IF($AM13&gt;0,OFFSET(N13,0,ROUNDUP($AK13/4,0))*$AJ13,"")</f>
        <v>0</v>
      </c>
      <c r="AR13" s="116">
        <f ca="1">IF($AM13&gt;0,OFFSET(O13,0,ROUNDUP($AK13/4,0))*$AJ13,"")</f>
        <v>0</v>
      </c>
      <c r="AS13" s="125">
        <f ca="1">IF($AM13&gt;0,OFFSET(P13,0,ROUNDUP($AK13/4,0))*$AJ13,"")</f>
        <v>0</v>
      </c>
      <c r="AT13" s="142">
        <f ca="1">IF($AM13&gt;0,OFFSET(Q13,0,ROUNDUP($AK13/4,0))*$AJ13,"")</f>
        <v>0</v>
      </c>
      <c r="AU13" s="116">
        <f ca="1">IF($AM13&gt;0,OFFSET(R13,0,ROUNDUP($AK13/4,0))*$AJ13,"")</f>
        <v>0</v>
      </c>
      <c r="AV13" s="152">
        <f ca="1">IF($AM13&gt;0,OFFSET(S13,0,ROUNDUP($AK13/4,0))*$AJ13,"")</f>
        <v>13</v>
      </c>
      <c r="AW13" s="116">
        <f ca="1">IF($AM13&gt;0,OFFSET(T13,0,ROUNDUP($AK13/4,0))*$AJ13,"")</f>
        <v>0</v>
      </c>
      <c r="AX13" s="116">
        <f ca="1">IF($AM13&gt;0,OFFSET(U13,0,ROUNDUP($AK13/4,0))*$AJ13,"")</f>
        <v>0</v>
      </c>
      <c r="AY13" s="116">
        <f ca="1">IF($AM13&gt;0,OFFSET(V13,0,ROUNDUP($AK13/4,0))*$AJ13,"")</f>
        <v>0</v>
      </c>
      <c r="AZ13" s="116">
        <f ca="1">IF($AM13&gt;0,OFFSET(W13,0,ROUNDUP($AK13/4,0))*$AJ13,"")</f>
        <v>13</v>
      </c>
      <c r="BA13" s="116">
        <f ca="1">IF($AM13&gt;0,OFFSET(X13,0,ROUNDUP($AK13/4,0))*$AJ13,"")</f>
        <v>0</v>
      </c>
      <c r="BB13" s="116">
        <f ca="1">IF($AM13&gt;0,OFFSET(Y13,0,ROUNDUP($AK13/4,0))*$AJ13,"")</f>
        <v>0</v>
      </c>
      <c r="BC13" s="116">
        <f ca="1">IF($AM13&gt;0,OFFSET(Z13,0,ROUNDUP($AK13/4,0))*$AJ13,"")</f>
        <v>0</v>
      </c>
      <c r="BD13" s="116">
        <f ca="1">IF($AM13&gt;0,OFFSET(AA13,0,ROUNDUP($AK13/4,0))*$AJ13,"")</f>
        <v>0</v>
      </c>
      <c r="BE13" s="125">
        <f ca="1">IF($AM13&gt;0,OFFSET(AB13,0,ROUNDUP($AK13/4,0))*$AJ13,"")</f>
        <v>0</v>
      </c>
    </row>
    <row r="14" spans="1:57" x14ac:dyDescent="0.3">
      <c r="A14" s="81" t="s">
        <v>12</v>
      </c>
      <c r="B14" s="59">
        <v>14</v>
      </c>
      <c r="C14" s="59">
        <v>16.5</v>
      </c>
      <c r="D14" s="59">
        <v>17</v>
      </c>
      <c r="E14" s="80">
        <f t="shared" si="1"/>
        <v>16.75</v>
      </c>
      <c r="F14" s="69">
        <v>10.855263157894738</v>
      </c>
      <c r="G14" s="47">
        <v>10.855263157894738</v>
      </c>
      <c r="H14" s="61">
        <v>10.855263157894738</v>
      </c>
      <c r="I14" s="70">
        <v>42.268041237113401</v>
      </c>
      <c r="K14" s="98">
        <f t="shared" si="0"/>
        <v>11</v>
      </c>
      <c r="L14" s="98" t="s">
        <v>190</v>
      </c>
      <c r="Q14" s="117"/>
      <c r="R14" s="117"/>
      <c r="S14" s="117"/>
      <c r="T14" s="117"/>
      <c r="U14" s="117"/>
      <c r="V14" s="117"/>
      <c r="W14" s="117"/>
      <c r="X14" s="117"/>
      <c r="Y14" s="117"/>
      <c r="Z14" s="117">
        <v>5.5</v>
      </c>
      <c r="AA14" s="117">
        <v>5.5</v>
      </c>
      <c r="AB14" s="117"/>
      <c r="AC14" s="117"/>
      <c r="AD14" s="117"/>
      <c r="AE14" s="117"/>
      <c r="AF14" s="117"/>
      <c r="AG14" s="117"/>
      <c r="AH14" s="117"/>
      <c r="AI14" s="131"/>
      <c r="AJ14" s="79">
        <v>1.4</v>
      </c>
      <c r="AK14" s="133">
        <v>8</v>
      </c>
      <c r="AM14" s="122">
        <f t="shared" si="4"/>
        <v>15.399999999999999</v>
      </c>
      <c r="AN14" s="123">
        <f t="shared" ca="1" si="3"/>
        <v>15.399999999999999</v>
      </c>
      <c r="AO14" s="123">
        <f t="shared" ca="1" si="5"/>
        <v>15.399999999999999</v>
      </c>
      <c r="AP14" s="77">
        <f ca="1">IF($AM14&gt;0,OFFSET(M14,0,ROUNDUP($AK14/4,0))*$AJ14,"")</f>
        <v>0</v>
      </c>
      <c r="AQ14" s="116">
        <f ca="1">IF($AM14&gt;0,OFFSET(N14,0,ROUNDUP($AK14/4,0))*$AJ14,"")</f>
        <v>0</v>
      </c>
      <c r="AR14" s="116">
        <f ca="1">IF($AM14&gt;0,OFFSET(O14,0,ROUNDUP($AK14/4,0))*$AJ14,"")</f>
        <v>0</v>
      </c>
      <c r="AS14" s="125">
        <f ca="1">IF($AM14&gt;0,OFFSET(P14,0,ROUNDUP($AK14/4,0))*$AJ14,"")</f>
        <v>0</v>
      </c>
      <c r="AT14" s="142">
        <f ca="1">IF($AM14&gt;0,OFFSET(Q14,0,ROUNDUP($AK14/4,0))*$AJ14,"")</f>
        <v>0</v>
      </c>
      <c r="AU14" s="116">
        <f ca="1">IF($AM14&gt;0,OFFSET(R14,0,ROUNDUP($AK14/4,0))*$AJ14,"")</f>
        <v>0</v>
      </c>
      <c r="AV14" s="116">
        <f ca="1">IF($AM14&gt;0,OFFSET(S14,0,ROUNDUP($AK14/4,0))*$AJ14,"")</f>
        <v>0</v>
      </c>
      <c r="AW14" s="116">
        <f ca="1">IF($AM14&gt;0,OFFSET(T14,0,ROUNDUP($AK14/4,0))*$AJ14,"")</f>
        <v>0</v>
      </c>
      <c r="AX14" s="116">
        <f ca="1">IF($AM14&gt;0,OFFSET(U14,0,ROUNDUP($AK14/4,0))*$AJ14,"")</f>
        <v>0</v>
      </c>
      <c r="AY14" s="116">
        <f ca="1">IF($AM14&gt;0,OFFSET(V14,0,ROUNDUP($AK14/4,0))*$AJ14,"")</f>
        <v>0</v>
      </c>
      <c r="AZ14" s="116">
        <f ca="1">IF($AM14&gt;0,OFFSET(W14,0,ROUNDUP($AK14/4,0))*$AJ14,"")</f>
        <v>0</v>
      </c>
      <c r="BA14" s="116">
        <f ca="1">IF($AM14&gt;0,OFFSET(X14,0,ROUNDUP($AK14/4,0))*$AJ14,"")</f>
        <v>7.6999999999999993</v>
      </c>
      <c r="BB14" s="116">
        <f ca="1">IF($AM14&gt;0,OFFSET(Y14,0,ROUNDUP($AK14/4,0))*$AJ14,"")</f>
        <v>7.6999999999999993</v>
      </c>
      <c r="BC14" s="116">
        <f ca="1">IF($AM14&gt;0,OFFSET(Z14,0,ROUNDUP($AK14/4,0))*$AJ14,"")</f>
        <v>0</v>
      </c>
      <c r="BD14" s="116">
        <f ca="1">IF($AM14&gt;0,OFFSET(AA14,0,ROUNDUP($AK14/4,0))*$AJ14,"")</f>
        <v>0</v>
      </c>
      <c r="BE14" s="125">
        <f ca="1">IF($AM14&gt;0,OFFSET(AB14,0,ROUNDUP($AK14/4,0))*$AJ14,"")</f>
        <v>0</v>
      </c>
    </row>
    <row r="15" spans="1:57" x14ac:dyDescent="0.3">
      <c r="A15" s="150" t="s">
        <v>1</v>
      </c>
      <c r="B15" s="59">
        <v>52</v>
      </c>
      <c r="C15" s="59">
        <v>121.8</v>
      </c>
      <c r="D15" s="59">
        <v>90</v>
      </c>
      <c r="E15" s="80">
        <f t="shared" si="1"/>
        <v>105.9</v>
      </c>
      <c r="F15" s="69">
        <v>72</v>
      </c>
      <c r="G15" s="69">
        <v>72</v>
      </c>
      <c r="H15" s="93">
        <v>72</v>
      </c>
      <c r="I15" s="70">
        <v>167.5257731958763</v>
      </c>
      <c r="J15" t="s">
        <v>174</v>
      </c>
      <c r="K15" s="98">
        <f t="shared" si="0"/>
        <v>55</v>
      </c>
      <c r="L15" s="98" t="s">
        <v>190</v>
      </c>
      <c r="Q15" s="117"/>
      <c r="R15" s="117">
        <v>5</v>
      </c>
      <c r="S15" s="117">
        <f t="shared" ref="S15:AE15" si="6">R15</f>
        <v>5</v>
      </c>
      <c r="T15" s="117">
        <f t="shared" si="6"/>
        <v>5</v>
      </c>
      <c r="U15" s="117">
        <f t="shared" si="6"/>
        <v>5</v>
      </c>
      <c r="V15" s="117">
        <v>5</v>
      </c>
      <c r="W15" s="117">
        <f>5+5</f>
        <v>10</v>
      </c>
      <c r="X15" s="117"/>
      <c r="Y15" s="117">
        <v>5</v>
      </c>
      <c r="Z15" s="117">
        <f t="shared" si="6"/>
        <v>5</v>
      </c>
      <c r="AA15" s="117">
        <f t="shared" si="6"/>
        <v>5</v>
      </c>
      <c r="AB15" s="117">
        <f t="shared" si="6"/>
        <v>5</v>
      </c>
      <c r="AC15" s="117">
        <f t="shared" si="6"/>
        <v>5</v>
      </c>
      <c r="AD15" s="117">
        <f t="shared" si="6"/>
        <v>5</v>
      </c>
      <c r="AE15" s="117">
        <f t="shared" si="6"/>
        <v>5</v>
      </c>
      <c r="AF15" s="117">
        <v>5</v>
      </c>
      <c r="AG15" s="117">
        <v>5</v>
      </c>
      <c r="AH15" s="117">
        <v>5</v>
      </c>
      <c r="AI15" s="131">
        <v>5</v>
      </c>
      <c r="AJ15" s="79">
        <v>1.3</v>
      </c>
      <c r="AK15" s="133">
        <v>10</v>
      </c>
      <c r="AL15" s="164">
        <v>1</v>
      </c>
      <c r="AM15" s="122">
        <f>IF(AJ15&lt;&gt;"",SUM(Q15:AE15)*AJ15,"")</f>
        <v>91</v>
      </c>
      <c r="AN15" s="123">
        <f t="shared" ca="1" si="3"/>
        <v>84.5</v>
      </c>
      <c r="AO15" s="123">
        <f t="shared" ca="1" si="5"/>
        <v>78</v>
      </c>
      <c r="AP15" s="77">
        <f ca="1">IF($AM15&gt;0,OFFSET(M15,0,ROUNDUP($AK15/4,0))*$AJ15,"")</f>
        <v>0</v>
      </c>
      <c r="AQ15" s="116">
        <f ca="1">IF($AM15&gt;0,OFFSET(N15,0,ROUNDUP($AK15/4,0))*$AJ15,"")</f>
        <v>0</v>
      </c>
      <c r="AR15" s="159">
        <f ca="1">IF($AM15&gt;0,OFFSET(O15,0,ROUNDUP($AK15/4,0))*$AJ15,"")-1*6.5</f>
        <v>0</v>
      </c>
      <c r="AS15" s="168">
        <f ca="1">IF($AM15&gt;0,OFFSET(P15,0,ROUNDUP($AK15/4,0))*$AJ15,"")</f>
        <v>6.5</v>
      </c>
      <c r="AT15" s="170">
        <f ca="1">IF($AM15&gt;0,OFFSET(Q15,0,ROUNDUP($AK15/4,0))*$AJ15,"")</f>
        <v>6.5</v>
      </c>
      <c r="AU15" s="152">
        <f ca="1">IF($AM15&gt;0,OFFSET(R15,0,ROUNDUP($AK15/4,0))*$AJ15,"")</f>
        <v>6.5</v>
      </c>
      <c r="AV15" s="152">
        <f ca="1">IF($AM15&gt;0,OFFSET(S15,0,ROUNDUP($AK15/4,0))*$AJ15,"")</f>
        <v>6.5</v>
      </c>
      <c r="AW15" s="116">
        <f ca="1">IF($AM15&gt;0,OFFSET(T15,0,ROUNDUP($AK15/4,0))*$AJ15,"")</f>
        <v>13</v>
      </c>
      <c r="AX15" s="116">
        <f ca="1">IF($AM15&gt;0,OFFSET(U15,0,ROUNDUP($AK15/4,0))*$AJ15,"")</f>
        <v>0</v>
      </c>
      <c r="AY15" s="116">
        <f ca="1">IF($AM15&gt;0,OFFSET(V15,0,ROUNDUP($AK15/4,0))*$AJ15,"")</f>
        <v>6.5</v>
      </c>
      <c r="AZ15" s="116">
        <f ca="1">IF($AM15&gt;0,OFFSET(W15,0,ROUNDUP($AK15/4,0))*$AJ15,"")</f>
        <v>6.5</v>
      </c>
      <c r="BA15" s="116">
        <f ca="1">IF($AM15&gt;0,OFFSET(X15,0,ROUNDUP($AK15/4,0))*$AJ15,"")</f>
        <v>6.5</v>
      </c>
      <c r="BB15" s="116">
        <f ca="1">IF($AM15&gt;0,OFFSET(Y15,0,ROUNDUP($AK15/4,0))*$AJ15,"")</f>
        <v>6.5</v>
      </c>
      <c r="BC15" s="116">
        <f ca="1">IF($AM15&gt;0,OFFSET(Z15,0,ROUNDUP($AK15/4,0))*$AJ15,"")</f>
        <v>6.5</v>
      </c>
      <c r="BD15" s="116">
        <f ca="1">IF($AM15&gt;0,OFFSET(AA15,0,ROUNDUP($AK15/4,0))*$AJ15,"")</f>
        <v>6.5</v>
      </c>
      <c r="BE15" s="125">
        <f ca="1">IF($AM15&gt;0,OFFSET(AB15,0,ROUNDUP($AK15/4,0))*$AJ15,"")</f>
        <v>6.5</v>
      </c>
    </row>
    <row r="16" spans="1:57" x14ac:dyDescent="0.3">
      <c r="A16" s="81" t="s">
        <v>16</v>
      </c>
      <c r="B16" s="59">
        <v>0</v>
      </c>
      <c r="C16" s="59">
        <v>7.1999999999999993</v>
      </c>
      <c r="D16" s="59">
        <v>0</v>
      </c>
      <c r="E16" s="80">
        <v>0</v>
      </c>
      <c r="F16" s="69">
        <v>9.473684210526315</v>
      </c>
      <c r="G16" s="47">
        <v>0</v>
      </c>
      <c r="H16" s="61">
        <v>0</v>
      </c>
      <c r="I16" s="70">
        <v>10.56701030927835</v>
      </c>
      <c r="K16" s="98">
        <f t="shared" si="0"/>
        <v>0</v>
      </c>
      <c r="L16" s="98" t="s">
        <v>186</v>
      </c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31"/>
      <c r="AJ16" s="79"/>
      <c r="AK16" s="133"/>
      <c r="AM16" s="122" t="str">
        <f t="shared" si="4"/>
        <v/>
      </c>
      <c r="AN16" s="123" t="str">
        <f t="shared" ca="1" si="3"/>
        <v/>
      </c>
      <c r="AO16" s="123">
        <f t="shared" ca="1" si="5"/>
        <v>0</v>
      </c>
      <c r="AP16" s="77">
        <f ca="1">IF($AM16&gt;0,OFFSET(M16,0,ROUNDUP($AK16/4,0))*$AJ16,"")</f>
        <v>0</v>
      </c>
      <c r="AQ16" s="116">
        <f ca="1">IF($AM16&gt;0,OFFSET(N16,0,ROUNDUP($AK16/4,0))*$AJ16,"")</f>
        <v>0</v>
      </c>
      <c r="AR16" s="116">
        <f ca="1">IF($AM16&gt;0,OFFSET(O16,0,ROUNDUP($AK16/4,0))*$AJ16,"")</f>
        <v>0</v>
      </c>
      <c r="AS16" s="125">
        <f ca="1">IF($AM16&gt;0,OFFSET(P16,0,ROUNDUP($AK16/4,0))*$AJ16,"")</f>
        <v>0</v>
      </c>
      <c r="AT16" s="142">
        <f ca="1">IF($AM16&gt;0,OFFSET(Q16,0,ROUNDUP($AK16/4,0))*$AJ16,"")</f>
        <v>0</v>
      </c>
      <c r="AU16" s="116">
        <f ca="1">IF($AM16&gt;0,OFFSET(R16,0,ROUNDUP($AK16/4,0))*$AJ16,"")</f>
        <v>0</v>
      </c>
      <c r="AV16" s="116">
        <f ca="1">IF($AM16&gt;0,OFFSET(S16,0,ROUNDUP($AK16/4,0))*$AJ16,"")</f>
        <v>0</v>
      </c>
      <c r="AW16" s="116">
        <f ca="1">IF($AM16&gt;0,OFFSET(T16,0,ROUNDUP($AK16/4,0))*$AJ16,"")</f>
        <v>0</v>
      </c>
      <c r="AX16" s="116">
        <f ca="1">IF($AM16&gt;0,OFFSET(U16,0,ROUNDUP($AK16/4,0))*$AJ16,"")</f>
        <v>0</v>
      </c>
      <c r="AY16" s="116">
        <f ca="1">IF($AM16&gt;0,OFFSET(V16,0,ROUNDUP($AK16/4,0))*$AJ16,"")</f>
        <v>0</v>
      </c>
      <c r="AZ16" s="116">
        <f ca="1">IF($AM16&gt;0,OFFSET(W16,0,ROUNDUP($AK16/4,0))*$AJ16,"")</f>
        <v>0</v>
      </c>
      <c r="BA16" s="116">
        <f ca="1">IF($AM16&gt;0,OFFSET(X16,0,ROUNDUP($AK16/4,0))*$AJ16,"")</f>
        <v>0</v>
      </c>
      <c r="BB16" s="116">
        <f ca="1">IF($AM16&gt;0,OFFSET(Y16,0,ROUNDUP($AK16/4,0))*$AJ16,"")</f>
        <v>0</v>
      </c>
      <c r="BC16" s="116">
        <f ca="1">IF($AM16&gt;0,OFFSET(Z16,0,ROUNDUP($AK16/4,0))*$AJ16,"")</f>
        <v>0</v>
      </c>
      <c r="BD16" s="116">
        <f ca="1">IF($AM16&gt;0,OFFSET(AA16,0,ROUNDUP($AK16/4,0))*$AJ16,"")</f>
        <v>0</v>
      </c>
      <c r="BE16" s="125">
        <f ca="1">IF($AM16&gt;0,OFFSET(AB16,0,ROUNDUP($AK16/4,0))*$AJ16,"")</f>
        <v>0</v>
      </c>
    </row>
    <row r="17" spans="1:57" x14ac:dyDescent="0.3">
      <c r="A17" s="81" t="s">
        <v>21</v>
      </c>
      <c r="B17" s="59">
        <v>0</v>
      </c>
      <c r="C17" s="59">
        <v>0</v>
      </c>
      <c r="D17" s="59">
        <v>0</v>
      </c>
      <c r="E17" s="80">
        <f t="shared" si="1"/>
        <v>0</v>
      </c>
      <c r="F17" s="69">
        <v>0</v>
      </c>
      <c r="G17" s="47">
        <v>0</v>
      </c>
      <c r="H17" s="61">
        <v>0</v>
      </c>
      <c r="I17" s="70">
        <v>12.88659793814433</v>
      </c>
      <c r="K17" s="98">
        <f t="shared" si="0"/>
        <v>0</v>
      </c>
      <c r="L17" s="98" t="s">
        <v>186</v>
      </c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31"/>
      <c r="AJ17" s="79"/>
      <c r="AK17" s="133"/>
      <c r="AM17" s="122" t="str">
        <f t="shared" si="4"/>
        <v/>
      </c>
      <c r="AN17" s="123" t="str">
        <f t="shared" ca="1" si="3"/>
        <v/>
      </c>
      <c r="AO17" s="123">
        <f t="shared" ca="1" si="5"/>
        <v>0</v>
      </c>
      <c r="AP17" s="77">
        <f ca="1">IF($AM17&gt;0,OFFSET(M17,0,ROUNDUP($AK17/4,0))*$AJ17,"")</f>
        <v>0</v>
      </c>
      <c r="AQ17" s="116">
        <f ca="1">IF($AM17&gt;0,OFFSET(N17,0,ROUNDUP($AK17/4,0))*$AJ17,"")</f>
        <v>0</v>
      </c>
      <c r="AR17" s="116">
        <f ca="1">IF($AM17&gt;0,OFFSET(O17,0,ROUNDUP($AK17/4,0))*$AJ17,"")</f>
        <v>0</v>
      </c>
      <c r="AS17" s="125">
        <f ca="1">IF($AM17&gt;0,OFFSET(P17,0,ROUNDUP($AK17/4,0))*$AJ17,"")</f>
        <v>0</v>
      </c>
      <c r="AT17" s="142">
        <f ca="1">IF($AM17&gt;0,OFFSET(Q17,0,ROUNDUP($AK17/4,0))*$AJ17,"")</f>
        <v>0</v>
      </c>
      <c r="AU17" s="116">
        <f ca="1">IF($AM17&gt;0,OFFSET(R17,0,ROUNDUP($AK17/4,0))*$AJ17,"")</f>
        <v>0</v>
      </c>
      <c r="AV17" s="116">
        <f ca="1">IF($AM17&gt;0,OFFSET(S17,0,ROUNDUP($AK17/4,0))*$AJ17,"")</f>
        <v>0</v>
      </c>
      <c r="AW17" s="116">
        <f ca="1">IF($AM17&gt;0,OFFSET(T17,0,ROUNDUP($AK17/4,0))*$AJ17,"")</f>
        <v>0</v>
      </c>
      <c r="AX17" s="116">
        <f ca="1">IF($AM17&gt;0,OFFSET(U17,0,ROUNDUP($AK17/4,0))*$AJ17,"")</f>
        <v>0</v>
      </c>
      <c r="AY17" s="116">
        <f ca="1">IF($AM17&gt;0,OFFSET(V17,0,ROUNDUP($AK17/4,0))*$AJ17,"")</f>
        <v>0</v>
      </c>
      <c r="AZ17" s="116">
        <f ca="1">IF($AM17&gt;0,OFFSET(W17,0,ROUNDUP($AK17/4,0))*$AJ17,"")</f>
        <v>0</v>
      </c>
      <c r="BA17" s="116">
        <f ca="1">IF($AM17&gt;0,OFFSET(X17,0,ROUNDUP($AK17/4,0))*$AJ17,"")</f>
        <v>0</v>
      </c>
      <c r="BB17" s="116">
        <f ca="1">IF($AM17&gt;0,OFFSET(Y17,0,ROUNDUP($AK17/4,0))*$AJ17,"")</f>
        <v>0</v>
      </c>
      <c r="BC17" s="116">
        <f ca="1">IF($AM17&gt;0,OFFSET(Z17,0,ROUNDUP($AK17/4,0))*$AJ17,"")</f>
        <v>0</v>
      </c>
      <c r="BD17" s="116">
        <f ca="1">IF($AM17&gt;0,OFFSET(AA17,0,ROUNDUP($AK17/4,0))*$AJ17,"")</f>
        <v>0</v>
      </c>
      <c r="BE17" s="125">
        <f ca="1">IF($AM17&gt;0,OFFSET(AB17,0,ROUNDUP($AK17/4,0))*$AJ17,"")</f>
        <v>0</v>
      </c>
    </row>
    <row r="18" spans="1:57" x14ac:dyDescent="0.3">
      <c r="A18" s="83" t="s">
        <v>3</v>
      </c>
      <c r="B18" s="59">
        <v>46</v>
      </c>
      <c r="C18" s="59">
        <v>35</v>
      </c>
      <c r="D18" s="59">
        <v>11</v>
      </c>
      <c r="E18" s="80">
        <f t="shared" si="1"/>
        <v>23</v>
      </c>
      <c r="F18" s="69">
        <v>39.14473684210526</v>
      </c>
      <c r="G18" s="47">
        <v>15</v>
      </c>
      <c r="H18" s="61">
        <v>15</v>
      </c>
      <c r="I18" s="70">
        <v>30</v>
      </c>
      <c r="J18" s="3" t="s">
        <v>175</v>
      </c>
      <c r="K18" s="98">
        <f t="shared" si="0"/>
        <v>16.5</v>
      </c>
      <c r="L18" s="98" t="s">
        <v>190</v>
      </c>
      <c r="Q18" s="117"/>
      <c r="R18" s="117"/>
      <c r="S18" s="117"/>
      <c r="T18" s="117"/>
      <c r="U18" s="117"/>
      <c r="V18" s="117"/>
      <c r="W18" s="117">
        <f>5.5</f>
        <v>5.5</v>
      </c>
      <c r="X18" s="117"/>
      <c r="Y18" s="117"/>
      <c r="Z18" s="117"/>
      <c r="AA18" s="117"/>
      <c r="AB18" s="117">
        <f>5.5*2</f>
        <v>11</v>
      </c>
      <c r="AC18" s="117"/>
      <c r="AD18" s="117"/>
      <c r="AE18" s="117"/>
      <c r="AF18" s="117"/>
      <c r="AG18" s="117"/>
      <c r="AH18" s="117"/>
      <c r="AI18" s="131"/>
      <c r="AJ18" s="79">
        <v>1.4</v>
      </c>
      <c r="AK18" s="133">
        <v>15</v>
      </c>
      <c r="AL18">
        <v>0.5</v>
      </c>
      <c r="AM18" s="122">
        <f t="shared" si="4"/>
        <v>23.099999999999998</v>
      </c>
      <c r="AN18" s="123">
        <f t="shared" ca="1" si="3"/>
        <v>23.099999999999998</v>
      </c>
      <c r="AO18" s="123">
        <f t="shared" ca="1" si="5"/>
        <v>23.099999999999998</v>
      </c>
      <c r="AP18" s="77">
        <f ca="1">IF($AM18&gt;0,OFFSET(M18,0,ROUNDUP($AK18/4,0))*$AJ18,"")</f>
        <v>0</v>
      </c>
      <c r="AQ18" s="116">
        <f ca="1">IF($AM18&gt;0,OFFSET(N18,0,ROUNDUP($AK18/4,0))*$AJ18,"")</f>
        <v>0</v>
      </c>
      <c r="AR18" s="116">
        <f ca="1">IF($AM18&gt;0,OFFSET(O18,0,ROUNDUP($AK18/4,0))*$AJ18,"")</f>
        <v>0</v>
      </c>
      <c r="AS18" s="125">
        <f ca="1">IF($AM18&gt;0,OFFSET(P18,0,ROUNDUP($AK18/4,0))*$AJ18,"")</f>
        <v>0</v>
      </c>
      <c r="AT18" s="142">
        <f ca="1">IF($AM18&gt;0,OFFSET(Q18,0,ROUNDUP($AK18/4,0))*$AJ18,"")</f>
        <v>0</v>
      </c>
      <c r="AU18" s="116">
        <f ca="1">IF($AM18&gt;0,OFFSET(R18,0,ROUNDUP($AK18/4,0))*$AJ18,"")</f>
        <v>0</v>
      </c>
      <c r="AV18" s="152">
        <f ca="1">IF($AM18&gt;0,OFFSET(S18,0,ROUNDUP($AK18/4,0))*$AJ18,"")</f>
        <v>7.6999999999999993</v>
      </c>
      <c r="AW18" s="116">
        <f ca="1">IF($AM18&gt;0,OFFSET(T18,0,ROUNDUP($AK18/4,0))*$AJ18,"")</f>
        <v>0</v>
      </c>
      <c r="AX18" s="116">
        <f ca="1">IF($AM18&gt;0,OFFSET(U18,0,ROUNDUP($AK18/4,0))*$AJ18,"")</f>
        <v>0</v>
      </c>
      <c r="AY18" s="116">
        <f ca="1">IF($AM18&gt;0,OFFSET(V18,0,ROUNDUP($AK18/4,0))*$AJ18,"")</f>
        <v>0</v>
      </c>
      <c r="AZ18" s="116">
        <f ca="1">IF($AM18&gt;0,OFFSET(W18,0,ROUNDUP($AK18/4,0))*$AJ18,"")</f>
        <v>0</v>
      </c>
      <c r="BA18" s="116">
        <f ca="1">IF($AM18&gt;0,OFFSET(X18,0,ROUNDUP($AK18/4,0))*$AJ18,"")</f>
        <v>15.399999999999999</v>
      </c>
      <c r="BB18" s="116">
        <f ca="1">IF($AM18&gt;0,OFFSET(Y18,0,ROUNDUP($AK18/4,0))*$AJ18,"")</f>
        <v>0</v>
      </c>
      <c r="BC18" s="116">
        <f ca="1">IF($AM18&gt;0,OFFSET(Z18,0,ROUNDUP($AK18/4,0))*$AJ18,"")</f>
        <v>0</v>
      </c>
      <c r="BD18" s="116">
        <f ca="1">IF($AM18&gt;0,OFFSET(AA18,0,ROUNDUP($AK18/4,0))*$AJ18,"")</f>
        <v>0</v>
      </c>
      <c r="BE18" s="125">
        <f ca="1">IF($AM18&gt;0,OFFSET(AB18,0,ROUNDUP($AK18/4,0))*$AJ18,"")</f>
        <v>0</v>
      </c>
    </row>
    <row r="19" spans="1:57" x14ac:dyDescent="0.3">
      <c r="A19" s="151" t="s">
        <v>32</v>
      </c>
      <c r="B19" s="59">
        <v>12</v>
      </c>
      <c r="C19" s="59">
        <v>50</v>
      </c>
      <c r="D19" s="59">
        <v>20</v>
      </c>
      <c r="E19" s="80">
        <f t="shared" si="1"/>
        <v>35</v>
      </c>
      <c r="F19" s="69">
        <v>17.740981667652274</v>
      </c>
      <c r="G19" s="47">
        <v>17.740981667652274</v>
      </c>
      <c r="H19" s="63">
        <v>18</v>
      </c>
      <c r="I19" s="70">
        <v>52.125564693617513</v>
      </c>
      <c r="K19" s="98">
        <f t="shared" si="0"/>
        <v>36</v>
      </c>
      <c r="L19" s="98" t="s">
        <v>190</v>
      </c>
      <c r="Q19" s="117"/>
      <c r="R19" s="117"/>
      <c r="S19" s="117"/>
      <c r="T19" s="117"/>
      <c r="U19" s="117"/>
      <c r="V19" s="117"/>
      <c r="W19" s="117"/>
      <c r="X19" s="117"/>
      <c r="Y19" s="117"/>
      <c r="Z19" s="117">
        <v>12</v>
      </c>
      <c r="AA19" s="117">
        <v>12</v>
      </c>
      <c r="AB19" s="117">
        <v>12</v>
      </c>
      <c r="AC19" s="117">
        <v>12</v>
      </c>
      <c r="AD19" s="117">
        <v>12</v>
      </c>
      <c r="AE19" s="117">
        <v>12</v>
      </c>
      <c r="AF19" s="117">
        <v>12</v>
      </c>
      <c r="AG19" s="117">
        <v>12</v>
      </c>
      <c r="AH19" s="117">
        <v>12</v>
      </c>
      <c r="AI19" s="131">
        <v>12</v>
      </c>
      <c r="AJ19" s="134">
        <v>1.1100000000000001</v>
      </c>
      <c r="AK19" s="133">
        <v>6</v>
      </c>
      <c r="AL19" s="164">
        <v>1</v>
      </c>
      <c r="AM19" s="122">
        <f>IF(AJ19&lt;&gt;"",SUM(Q19:AD19)*AJ19,"")</f>
        <v>66.600000000000009</v>
      </c>
      <c r="AN19" s="123">
        <f t="shared" ca="1" si="3"/>
        <v>66.599999999999994</v>
      </c>
      <c r="AO19" s="123">
        <f t="shared" ca="1" si="5"/>
        <v>66.599999999999994</v>
      </c>
      <c r="AP19" s="77">
        <f ca="1">IF($AM19&gt;0,OFFSET(M19,0,ROUNDUP($AK19/4,0))*$AJ19,"")</f>
        <v>0</v>
      </c>
      <c r="AQ19" s="116">
        <f ca="1">IF($AM19&gt;0,OFFSET(N19,0,ROUNDUP($AK19/4,0))*$AJ19,"")</f>
        <v>0</v>
      </c>
      <c r="AR19" s="116">
        <f ca="1">IF($AM19&gt;0,OFFSET(O19,0,ROUNDUP($AK19/4,0))*$AJ19,"")</f>
        <v>0</v>
      </c>
      <c r="AS19" s="125">
        <f ca="1">IF($AM19&gt;0,OFFSET(P19,0,ROUNDUP($AK19/4,0))*$AJ19,"")</f>
        <v>0</v>
      </c>
      <c r="AT19" s="142">
        <f ca="1">IF($AM19&gt;0,OFFSET(Q19,0,ROUNDUP($AK19/4,0))*$AJ19,"")</f>
        <v>0</v>
      </c>
      <c r="AU19" s="116">
        <f ca="1">IF($AM19&gt;0,OFFSET(R19,0,ROUNDUP($AK19/4,0))*$AJ19,"")</f>
        <v>0</v>
      </c>
      <c r="AV19" s="116">
        <f ca="1">IF($AM19&gt;0,OFFSET(S19,0,ROUNDUP($AK19/4,0))*$AJ19,"")</f>
        <v>0</v>
      </c>
      <c r="AW19" s="116">
        <f ca="1">IF($AM19&gt;0,OFFSET(T19,0,ROUNDUP($AK19/4,0))*$AJ19,"")</f>
        <v>0</v>
      </c>
      <c r="AX19" s="116">
        <f ca="1">IF($AM19&gt;0,OFFSET(U19,0,ROUNDUP($AK19/4,0))*$AJ19,"")</f>
        <v>0</v>
      </c>
      <c r="AY19" s="116">
        <f ca="1">IF($AM19&gt;0,OFFSET(V19,0,ROUNDUP($AK19/4,0))*$AJ19,"")</f>
        <v>0</v>
      </c>
      <c r="AZ19" s="116">
        <f ca="1">IF($AM19&gt;0,OFFSET(W19,0,ROUNDUP($AK19/4,0))*$AJ19,"")</f>
        <v>0</v>
      </c>
      <c r="BA19" s="116">
        <f ca="1">IF($AM19&gt;0,OFFSET(X19,0,ROUNDUP($AK19/4,0))*$AJ19,"")</f>
        <v>13.32</v>
      </c>
      <c r="BB19" s="116">
        <f ca="1">IF($AM19&gt;0,OFFSET(Y19,0,ROUNDUP($AK19/4,0))*$AJ19,"")</f>
        <v>13.32</v>
      </c>
      <c r="BC19" s="116">
        <f ca="1">IF($AM19&gt;0,OFFSET(Z19,0,ROUNDUP($AK19/4,0))*$AJ19,"")</f>
        <v>13.32</v>
      </c>
      <c r="BD19" s="116">
        <f ca="1">IF($AM19&gt;0,OFFSET(AA19,0,ROUNDUP($AK19/4,0))*$AJ19,"")</f>
        <v>13.32</v>
      </c>
      <c r="BE19" s="125">
        <f ca="1">IF($AM19&gt;0,OFFSET(AB19,0,ROUNDUP($AK19/4,0))*$AJ19,"")</f>
        <v>13.32</v>
      </c>
    </row>
    <row r="20" spans="1:57" x14ac:dyDescent="0.3">
      <c r="A20" s="151" t="s">
        <v>35</v>
      </c>
      <c r="B20" s="59">
        <v>6</v>
      </c>
      <c r="C20" s="59">
        <v>24.8</v>
      </c>
      <c r="D20" s="59">
        <v>13.8</v>
      </c>
      <c r="E20" s="80">
        <f t="shared" si="1"/>
        <v>19.3</v>
      </c>
      <c r="F20" s="69">
        <v>29.3317563571851</v>
      </c>
      <c r="G20" s="47">
        <v>29.3317563571851</v>
      </c>
      <c r="H20" s="61">
        <v>29</v>
      </c>
      <c r="I20" s="70">
        <v>28.958647052009731</v>
      </c>
      <c r="K20" s="98">
        <f t="shared" si="0"/>
        <v>18</v>
      </c>
      <c r="L20" s="98" t="s">
        <v>190</v>
      </c>
      <c r="Q20" s="117"/>
      <c r="R20" s="117"/>
      <c r="S20" s="117">
        <v>6</v>
      </c>
      <c r="T20" s="117"/>
      <c r="U20" s="117"/>
      <c r="V20" s="117"/>
      <c r="W20" s="117">
        <v>6</v>
      </c>
      <c r="X20" s="117"/>
      <c r="Y20" s="117"/>
      <c r="Z20" s="117"/>
      <c r="AA20" s="117">
        <v>6</v>
      </c>
      <c r="AB20" s="117"/>
      <c r="AC20" s="117"/>
      <c r="AD20" s="117"/>
      <c r="AE20" s="117">
        <v>6</v>
      </c>
      <c r="AF20" s="117"/>
      <c r="AG20" s="117"/>
      <c r="AH20" s="117"/>
      <c r="AI20" s="131">
        <v>6</v>
      </c>
      <c r="AJ20" s="134">
        <v>1.1100000000000001</v>
      </c>
      <c r="AK20" s="133">
        <v>6</v>
      </c>
      <c r="AL20" s="164">
        <v>1</v>
      </c>
      <c r="AM20" s="122">
        <f>IF(AJ20&lt;&gt;"",SUM(Q20:AD20)*AJ20,"")</f>
        <v>19.98</v>
      </c>
      <c r="AN20" s="123">
        <f t="shared" ca="1" si="3"/>
        <v>19.98</v>
      </c>
      <c r="AO20" s="123">
        <f t="shared" ca="1" si="5"/>
        <v>19.98</v>
      </c>
      <c r="AP20" s="77">
        <f ca="1">IF($AM20&gt;0,OFFSET(M20,0,ROUNDUP($AK20/4,0))*$AJ20,"")</f>
        <v>0</v>
      </c>
      <c r="AQ20" s="116">
        <f ca="1">IF($AM20&gt;0,OFFSET(N20,0,ROUNDUP($AK20/4,0))*$AJ20,"")</f>
        <v>0</v>
      </c>
      <c r="AR20" s="116">
        <f ca="1">IF($AM20&gt;0,OFFSET(O20,0,ROUNDUP($AK20/4,0))*$AJ20,"")</f>
        <v>0</v>
      </c>
      <c r="AS20" s="125">
        <f ca="1">IF($AM20&gt;0,OFFSET(P20,0,ROUNDUP($AK20/4,0))*$AJ20,"")</f>
        <v>0</v>
      </c>
      <c r="AT20" s="170">
        <f ca="1">IF($AM20&gt;0,OFFSET(Q20,0,ROUNDUP($AK20/4,0))*$AJ20,"")</f>
        <v>6.66</v>
      </c>
      <c r="AU20" s="116">
        <f ca="1">IF($AM20&gt;0,OFFSET(R20,0,ROUNDUP($AK20/4,0))*$AJ20,"")</f>
        <v>0</v>
      </c>
      <c r="AV20" s="116">
        <f ca="1">IF($AM20&gt;0,OFFSET(S20,0,ROUNDUP($AK20/4,0))*$AJ20,"")</f>
        <v>0</v>
      </c>
      <c r="AW20" s="116">
        <f ca="1">IF($AM20&gt;0,OFFSET(T20,0,ROUNDUP($AK20/4,0))*$AJ20,"")</f>
        <v>0</v>
      </c>
      <c r="AX20" s="116">
        <f ca="1">IF($AM20&gt;0,OFFSET(U20,0,ROUNDUP($AK20/4,0))*$AJ20,"")</f>
        <v>6.66</v>
      </c>
      <c r="AY20" s="116">
        <f ca="1">IF($AM20&gt;0,OFFSET(V20,0,ROUNDUP($AK20/4,0))*$AJ20,"")</f>
        <v>0</v>
      </c>
      <c r="AZ20" s="116">
        <f ca="1">IF($AM20&gt;0,OFFSET(W20,0,ROUNDUP($AK20/4,0))*$AJ20,"")</f>
        <v>0</v>
      </c>
      <c r="BA20" s="116">
        <f ca="1">IF($AM20&gt;0,OFFSET(X20,0,ROUNDUP($AK20/4,0))*$AJ20,"")</f>
        <v>0</v>
      </c>
      <c r="BB20" s="116">
        <f ca="1">IF($AM20&gt;0,OFFSET(Y20,0,ROUNDUP($AK20/4,0))*$AJ20,"")</f>
        <v>6.66</v>
      </c>
      <c r="BC20" s="116">
        <f ca="1">IF($AM20&gt;0,OFFSET(Z20,0,ROUNDUP($AK20/4,0))*$AJ20,"")</f>
        <v>0</v>
      </c>
      <c r="BD20" s="116">
        <f ca="1">IF($AM20&gt;0,OFFSET(AA20,0,ROUNDUP($AK20/4,0))*$AJ20,"")</f>
        <v>0</v>
      </c>
      <c r="BE20" s="125">
        <f ca="1">IF($AM20&gt;0,OFFSET(AB20,0,ROUNDUP($AK20/4,0))*$AJ20,"")</f>
        <v>0</v>
      </c>
    </row>
    <row r="21" spans="1:57" x14ac:dyDescent="0.3">
      <c r="A21" s="150" t="s">
        <v>33</v>
      </c>
      <c r="B21" s="59">
        <v>6</v>
      </c>
      <c r="C21" s="94">
        <v>89.600000000000009</v>
      </c>
      <c r="D21" s="59">
        <v>10.856000000000002</v>
      </c>
      <c r="E21" s="80">
        <f t="shared" si="1"/>
        <v>50.228000000000009</v>
      </c>
      <c r="F21" s="69">
        <v>95.375517445298655</v>
      </c>
      <c r="G21" s="47">
        <v>14</v>
      </c>
      <c r="H21" s="102">
        <f>65+15</f>
        <v>80</v>
      </c>
      <c r="I21" s="70">
        <v>93.826016448511524</v>
      </c>
      <c r="J21" s="3" t="s">
        <v>176</v>
      </c>
      <c r="K21" s="98">
        <f t="shared" si="0"/>
        <v>66</v>
      </c>
      <c r="L21" s="98" t="s">
        <v>190</v>
      </c>
      <c r="Q21" s="117">
        <v>6</v>
      </c>
      <c r="R21" s="117">
        <v>6</v>
      </c>
      <c r="S21" s="117">
        <v>6</v>
      </c>
      <c r="T21" s="117">
        <v>6</v>
      </c>
      <c r="U21" s="117">
        <v>6</v>
      </c>
      <c r="V21" s="117">
        <v>6</v>
      </c>
      <c r="W21" s="117"/>
      <c r="X21" s="117">
        <v>6</v>
      </c>
      <c r="Y21" s="117">
        <v>6</v>
      </c>
      <c r="Z21" s="117">
        <v>6</v>
      </c>
      <c r="AA21" s="117">
        <v>6</v>
      </c>
      <c r="AB21" s="117">
        <v>6</v>
      </c>
      <c r="AC21" s="117">
        <v>6</v>
      </c>
      <c r="AD21" s="117">
        <v>6</v>
      </c>
      <c r="AE21" s="117">
        <v>6</v>
      </c>
      <c r="AF21" s="117">
        <v>6</v>
      </c>
      <c r="AG21" s="117">
        <v>6</v>
      </c>
      <c r="AH21" s="117">
        <v>6</v>
      </c>
      <c r="AI21" s="131">
        <v>6</v>
      </c>
      <c r="AJ21" s="134">
        <v>1.1100000000000001</v>
      </c>
      <c r="AK21" s="133">
        <v>6</v>
      </c>
      <c r="AM21" s="122">
        <f>IF(AJ21&lt;&gt;"",SUM(Q21:AD21)*AJ21,"")</f>
        <v>86.580000000000013</v>
      </c>
      <c r="AN21" s="123">
        <f t="shared" ca="1" si="3"/>
        <v>86.57999999999997</v>
      </c>
      <c r="AO21" s="123">
        <f t="shared" ca="1" si="5"/>
        <v>73.259999999999977</v>
      </c>
      <c r="AP21" s="77">
        <f ca="1">IF($AM21&gt;0,OFFSET(M21,0,ROUNDUP($AK21/4,0))*$AJ21,"")</f>
        <v>0</v>
      </c>
      <c r="AQ21" s="116">
        <f ca="1">IF($AM21&gt;0,OFFSET(N21,0,ROUNDUP($AK21/4,0))*$AJ21,"")</f>
        <v>0</v>
      </c>
      <c r="AR21" s="152">
        <f ca="1">IF($AM21&gt;0,OFFSET(O21,0,ROUNDUP($AK21/4,0))*$AJ21,"")</f>
        <v>6.66</v>
      </c>
      <c r="AS21" s="168">
        <f ca="1">IF($AM21&gt;0,OFFSET(P21,0,ROUNDUP($AK21/4,0))*$AJ21,"")</f>
        <v>6.66</v>
      </c>
      <c r="AT21" s="170">
        <f ca="1">IF($AM21&gt;0,OFFSET(Q21,0,ROUNDUP($AK21/4,0))*$AJ21,"")</f>
        <v>6.66</v>
      </c>
      <c r="AU21" s="152">
        <f ca="1">IF($AM21&gt;0,OFFSET(R21,0,ROUNDUP($AK21/4,0))*$AJ21,"")</f>
        <v>6.66</v>
      </c>
      <c r="AV21" s="152">
        <f ca="1">IF($AM21&gt;0,OFFSET(S21,0,ROUNDUP($AK21/4,0))*$AJ21,"")</f>
        <v>6.66</v>
      </c>
      <c r="AW21" s="116">
        <f ca="1">IF($AM21&gt;0,OFFSET(T21,0,ROUNDUP($AK21/4,0))*$AJ21,"")</f>
        <v>6.66</v>
      </c>
      <c r="AX21" s="116">
        <f ca="1">IF($AM21&gt;0,OFFSET(U21,0,ROUNDUP($AK21/4,0))*$AJ21,"")</f>
        <v>0</v>
      </c>
      <c r="AY21" s="116">
        <f ca="1">IF($AM21&gt;0,OFFSET(V21,0,ROUNDUP($AK21/4,0))*$AJ21,"")</f>
        <v>6.66</v>
      </c>
      <c r="AZ21" s="116">
        <f ca="1">IF($AM21&gt;0,OFFSET(W21,0,ROUNDUP($AK21/4,0))*$AJ21,"")</f>
        <v>6.66</v>
      </c>
      <c r="BA21" s="116">
        <f ca="1">IF($AM21&gt;0,OFFSET(X21,0,ROUNDUP($AK21/4,0))*$AJ21,"")</f>
        <v>6.66</v>
      </c>
      <c r="BB21" s="116">
        <f ca="1">IF($AM21&gt;0,OFFSET(Y21,0,ROUNDUP($AK21/4,0))*$AJ21,"")</f>
        <v>6.66</v>
      </c>
      <c r="BC21" s="116">
        <f ca="1">IF($AM21&gt;0,OFFSET(Z21,0,ROUNDUP($AK21/4,0))*$AJ21,"")</f>
        <v>6.66</v>
      </c>
      <c r="BD21" s="116">
        <f ca="1">IF($AM21&gt;0,OFFSET(AA21,0,ROUNDUP($AK21/4,0))*$AJ21,"")</f>
        <v>6.66</v>
      </c>
      <c r="BE21" s="125">
        <f ca="1">IF($AM21&gt;0,OFFSET(AB21,0,ROUNDUP($AK21/4,0))*$AJ21,"")</f>
        <v>6.66</v>
      </c>
    </row>
    <row r="22" spans="1:57" x14ac:dyDescent="0.3">
      <c r="A22" s="151" t="s">
        <v>34</v>
      </c>
      <c r="B22" s="59">
        <v>13</v>
      </c>
      <c r="C22" s="59">
        <v>13</v>
      </c>
      <c r="D22" s="59">
        <v>13</v>
      </c>
      <c r="E22" s="80">
        <f t="shared" si="1"/>
        <v>13</v>
      </c>
      <c r="F22" s="69">
        <f>15-15</f>
        <v>0</v>
      </c>
      <c r="G22" s="69">
        <f>15-15</f>
        <v>0</v>
      </c>
      <c r="H22" s="102">
        <f>15-15</f>
        <v>0</v>
      </c>
      <c r="I22" s="70">
        <v>0</v>
      </c>
      <c r="K22" s="98">
        <f t="shared" si="0"/>
        <v>0</v>
      </c>
      <c r="L22" s="98" t="s">
        <v>186</v>
      </c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31"/>
      <c r="AJ22" s="79"/>
      <c r="AK22" s="133"/>
      <c r="AM22" s="122" t="str">
        <f t="shared" si="4"/>
        <v/>
      </c>
      <c r="AN22" s="123" t="str">
        <f t="shared" ca="1" si="3"/>
        <v/>
      </c>
      <c r="AO22" s="123">
        <f t="shared" ca="1" si="5"/>
        <v>0</v>
      </c>
      <c r="AP22" s="77">
        <f ca="1">IF($AM22&gt;0,OFFSET(M22,0,ROUNDUP($AK22/4,0))*$AJ22,"")</f>
        <v>0</v>
      </c>
      <c r="AQ22" s="116">
        <f ca="1">IF($AM22&gt;0,OFFSET(N22,0,ROUNDUP($AK22/4,0))*$AJ22,"")</f>
        <v>0</v>
      </c>
      <c r="AR22" s="116">
        <f ca="1">IF($AM22&gt;0,OFFSET(O22,0,ROUNDUP($AK22/4,0))*$AJ22,"")</f>
        <v>0</v>
      </c>
      <c r="AS22" s="125">
        <f ca="1">IF($AM22&gt;0,OFFSET(P22,0,ROUNDUP($AK22/4,0))*$AJ22,"")</f>
        <v>0</v>
      </c>
      <c r="AT22" s="142">
        <f ca="1">IF($AM22&gt;0,OFFSET(Q22,0,ROUNDUP($AK22/4,0))*$AJ22,"")</f>
        <v>0</v>
      </c>
      <c r="AU22" s="116">
        <f ca="1">IF($AM22&gt;0,OFFSET(R22,0,ROUNDUP($AK22/4,0))*$AJ22,"")</f>
        <v>0</v>
      </c>
      <c r="AV22" s="116">
        <f ca="1">IF($AM22&gt;0,OFFSET(S22,0,ROUNDUP($AK22/4,0))*$AJ22,"")</f>
        <v>0</v>
      </c>
      <c r="AW22" s="116">
        <f ca="1">IF($AM22&gt;0,OFFSET(T22,0,ROUNDUP($AK22/4,0))*$AJ22,"")</f>
        <v>0</v>
      </c>
      <c r="AX22" s="116">
        <f ca="1">IF($AM22&gt;0,OFFSET(U22,0,ROUNDUP($AK22/4,0))*$AJ22,"")</f>
        <v>0</v>
      </c>
      <c r="AY22" s="116">
        <f ca="1">IF($AM22&gt;0,OFFSET(V22,0,ROUNDUP($AK22/4,0))*$AJ22,"")</f>
        <v>0</v>
      </c>
      <c r="AZ22" s="116">
        <f ca="1">IF($AM22&gt;0,OFFSET(W22,0,ROUNDUP($AK22/4,0))*$AJ22,"")</f>
        <v>0</v>
      </c>
      <c r="BA22" s="116">
        <f ca="1">IF($AM22&gt;0,OFFSET(X22,0,ROUNDUP($AK22/4,0))*$AJ22,"")</f>
        <v>0</v>
      </c>
      <c r="BB22" s="116">
        <f ca="1">IF($AM22&gt;0,OFFSET(Y22,0,ROUNDUP($AK22/4,0))*$AJ22,"")</f>
        <v>0</v>
      </c>
      <c r="BC22" s="116">
        <f ca="1">IF($AM22&gt;0,OFFSET(Z22,0,ROUNDUP($AK22/4,0))*$AJ22,"")</f>
        <v>0</v>
      </c>
      <c r="BD22" s="116">
        <f ca="1">IF($AM22&gt;0,OFFSET(AA22,0,ROUNDUP($AK22/4,0))*$AJ22,"")</f>
        <v>0</v>
      </c>
      <c r="BE22" s="125">
        <f ca="1">IF($AM22&gt;0,OFFSET(AB22,0,ROUNDUP($AK22/4,0))*$AJ22,"")</f>
        <v>0</v>
      </c>
    </row>
    <row r="23" spans="1:57" x14ac:dyDescent="0.3">
      <c r="A23" s="151" t="s">
        <v>107</v>
      </c>
      <c r="B23" s="59">
        <v>0</v>
      </c>
      <c r="C23" s="59">
        <v>15</v>
      </c>
      <c r="D23" s="59">
        <v>15</v>
      </c>
      <c r="E23" s="80">
        <f t="shared" si="1"/>
        <v>15</v>
      </c>
      <c r="F23" s="95">
        <v>21</v>
      </c>
      <c r="G23" s="96">
        <v>21</v>
      </c>
      <c r="H23" s="61">
        <v>21</v>
      </c>
      <c r="I23" s="70">
        <v>64.432989690721655</v>
      </c>
      <c r="J23" s="3" t="s">
        <v>177</v>
      </c>
      <c r="K23" s="98">
        <f t="shared" si="0"/>
        <v>15</v>
      </c>
      <c r="L23" s="98" t="s">
        <v>190</v>
      </c>
      <c r="Q23" s="117"/>
      <c r="R23" s="117"/>
      <c r="S23" s="117"/>
      <c r="T23" s="117"/>
      <c r="U23" s="117"/>
      <c r="V23" s="117"/>
      <c r="W23" s="117"/>
      <c r="X23" s="117"/>
      <c r="Y23" s="117"/>
      <c r="Z23" s="117">
        <v>5</v>
      </c>
      <c r="AA23" s="117">
        <v>5</v>
      </c>
      <c r="AB23" s="117">
        <v>5</v>
      </c>
      <c r="AC23" s="117"/>
      <c r="AD23" s="117">
        <v>5</v>
      </c>
      <c r="AE23" s="117">
        <v>5</v>
      </c>
      <c r="AF23" s="117">
        <v>5</v>
      </c>
      <c r="AG23" s="117">
        <f>AF23</f>
        <v>5</v>
      </c>
      <c r="AH23" s="117">
        <f>AG23</f>
        <v>5</v>
      </c>
      <c r="AI23" s="131">
        <v>5</v>
      </c>
      <c r="AJ23" s="134">
        <v>1.3</v>
      </c>
      <c r="AK23" s="133">
        <v>10</v>
      </c>
      <c r="AM23" s="122">
        <f>IF(AJ23&lt;&gt;"",SUM(Q23:AE23)*AJ23,"")</f>
        <v>32.5</v>
      </c>
      <c r="AN23" s="123">
        <f t="shared" ca="1" si="3"/>
        <v>32.5</v>
      </c>
      <c r="AO23" s="123">
        <f t="shared" ca="1" si="5"/>
        <v>32.5</v>
      </c>
      <c r="AP23" s="77">
        <f ca="1">IF($AM23&gt;0,OFFSET(M23,0,ROUNDUP($AK23/4,0))*$AJ23,"")</f>
        <v>0</v>
      </c>
      <c r="AQ23" s="116">
        <f ca="1">IF($AM23&gt;0,OFFSET(N23,0,ROUNDUP($AK23/4,0))*$AJ23,"")</f>
        <v>0</v>
      </c>
      <c r="AR23" s="116">
        <f ca="1">IF($AM23&gt;0,OFFSET(O23,0,ROUNDUP($AK23/4,0))*$AJ23,"")</f>
        <v>0</v>
      </c>
      <c r="AS23" s="125">
        <f ca="1">IF($AM23&gt;0,OFFSET(P23,0,ROUNDUP($AK23/4,0))*$AJ23,"")</f>
        <v>0</v>
      </c>
      <c r="AT23" s="142">
        <f ca="1">IF($AM23&gt;0,OFFSET(Q23,0,ROUNDUP($AK23/4,0))*$AJ23,"")</f>
        <v>0</v>
      </c>
      <c r="AU23" s="116">
        <f ca="1">IF($AM23&gt;0,OFFSET(R23,0,ROUNDUP($AK23/4,0))*$AJ23,"")</f>
        <v>0</v>
      </c>
      <c r="AV23" s="116">
        <f ca="1">IF($AM23&gt;0,OFFSET(S23,0,ROUNDUP($AK23/4,0))*$AJ23,"")</f>
        <v>0</v>
      </c>
      <c r="AW23" s="116">
        <f ca="1">IF($AM23&gt;0,OFFSET(T23,0,ROUNDUP($AK23/4,0))*$AJ23,"")</f>
        <v>0</v>
      </c>
      <c r="AX23" s="116">
        <f ca="1">IF($AM23&gt;0,OFFSET(U23,0,ROUNDUP($AK23/4,0))*$AJ23,"")</f>
        <v>0</v>
      </c>
      <c r="AY23" s="116">
        <f ca="1">IF($AM23&gt;0,OFFSET(V23,0,ROUNDUP($AK23/4,0))*$AJ23,"")</f>
        <v>0</v>
      </c>
      <c r="AZ23" s="116">
        <f ca="1">IF($AM23&gt;0,OFFSET(W23,0,ROUNDUP($AK23/4,0))*$AJ23,"")</f>
        <v>6.5</v>
      </c>
      <c r="BA23" s="116">
        <f ca="1">IF($AM23&gt;0,OFFSET(X23,0,ROUNDUP($AK23/4,0))*$AJ23,"")</f>
        <v>6.5</v>
      </c>
      <c r="BB23" s="116">
        <f ca="1">IF($AM23&gt;0,OFFSET(Y23,0,ROUNDUP($AK23/4,0))*$AJ23,"")</f>
        <v>6.5</v>
      </c>
      <c r="BC23" s="116">
        <f ca="1">IF($AM23&gt;0,OFFSET(Z23,0,ROUNDUP($AK23/4,0))*$AJ23,"")</f>
        <v>0</v>
      </c>
      <c r="BD23" s="116">
        <f ca="1">IF($AM23&gt;0,OFFSET(AA23,0,ROUNDUP($AK23/4,0))*$AJ23,"")</f>
        <v>6.5</v>
      </c>
      <c r="BE23" s="125">
        <f ca="1">IF($AM23&gt;0,OFFSET(AB23,0,ROUNDUP($AK23/4,0))*$AJ23,"")</f>
        <v>6.5</v>
      </c>
    </row>
    <row r="24" spans="1:57" x14ac:dyDescent="0.3">
      <c r="A24" s="151" t="s">
        <v>13</v>
      </c>
      <c r="B24" s="59">
        <v>56</v>
      </c>
      <c r="C24" s="59">
        <v>150</v>
      </c>
      <c r="D24" s="59">
        <v>100</v>
      </c>
      <c r="E24" s="80">
        <f t="shared" si="1"/>
        <v>125</v>
      </c>
      <c r="F24" s="69">
        <v>157.89473684210526</v>
      </c>
      <c r="G24" s="47">
        <v>105</v>
      </c>
      <c r="H24" s="61">
        <v>131</v>
      </c>
      <c r="I24" s="70">
        <v>154.63917525773195</v>
      </c>
      <c r="J24" s="3" t="s">
        <v>178</v>
      </c>
      <c r="K24" s="98">
        <f t="shared" si="0"/>
        <v>123</v>
      </c>
      <c r="L24" s="98" t="s">
        <v>190</v>
      </c>
      <c r="Q24" s="117"/>
      <c r="R24" s="117">
        <f>2*7.25</f>
        <v>14.5</v>
      </c>
      <c r="S24" s="117">
        <v>7.25</v>
      </c>
      <c r="T24" s="117">
        <f>2*7.25</f>
        <v>14.5</v>
      </c>
      <c r="U24" s="117">
        <v>7.25</v>
      </c>
      <c r="V24" s="117">
        <f>2*7.25</f>
        <v>14.5</v>
      </c>
      <c r="W24" s="117">
        <v>7.25</v>
      </c>
      <c r="X24" s="117">
        <f>2*7.25</f>
        <v>14.5</v>
      </c>
      <c r="Y24" s="117">
        <v>7.25</v>
      </c>
      <c r="Z24" s="117">
        <f>2*7.25</f>
        <v>14.5</v>
      </c>
      <c r="AA24" s="117">
        <v>7.25</v>
      </c>
      <c r="AB24" s="117">
        <v>14.25</v>
      </c>
      <c r="AC24" s="117">
        <v>7.25</v>
      </c>
      <c r="AD24" s="117">
        <v>14.25</v>
      </c>
      <c r="AE24" s="117">
        <v>7.25</v>
      </c>
      <c r="AF24" s="117">
        <v>14.25</v>
      </c>
      <c r="AG24" s="117">
        <v>7.25</v>
      </c>
      <c r="AH24" s="117">
        <v>14.25</v>
      </c>
      <c r="AI24" s="131">
        <v>7.25</v>
      </c>
      <c r="AJ24" s="134">
        <v>1</v>
      </c>
      <c r="AK24" s="135">
        <v>2</v>
      </c>
      <c r="AL24" s="106">
        <v>1</v>
      </c>
      <c r="AM24" s="122">
        <f>IF(AJ24&lt;&gt;"",SUM(Q24:AC24)*AJ24,"")</f>
        <v>130.25</v>
      </c>
      <c r="AN24" s="123">
        <f t="shared" ca="1" si="3"/>
        <v>130.25</v>
      </c>
      <c r="AO24" s="123">
        <f t="shared" ca="1" si="5"/>
        <v>130.25</v>
      </c>
      <c r="AP24" s="77">
        <f ca="1">IF($AM24&gt;0,OFFSET(M24,0,ROUNDUP($AK24/4,0))*$AJ24,"")</f>
        <v>0</v>
      </c>
      <c r="AQ24" s="116">
        <f ca="1">IF($AM24&gt;0,OFFSET(N24,0,ROUNDUP($AK24/4,0))*$AJ24,"")</f>
        <v>0</v>
      </c>
      <c r="AR24" s="116">
        <f ca="1">IF($AM24&gt;0,OFFSET(O24,0,ROUNDUP($AK24/4,0))*$AJ24,"")</f>
        <v>0</v>
      </c>
      <c r="AS24" s="125">
        <f ca="1">IF($AM24&gt;0,OFFSET(P24,0,ROUNDUP($AK24/4,0))*$AJ24,"")</f>
        <v>0</v>
      </c>
      <c r="AT24" s="170">
        <f ca="1">IF($AM24&gt;0,OFFSET(Q24,0,ROUNDUP($AK24/4,0))*$AJ24,"")</f>
        <v>14.5</v>
      </c>
      <c r="AU24" s="152">
        <f ca="1">IF($AM24&gt;0,OFFSET(R24,0,ROUNDUP($AK24/4,0))*$AJ24,"")</f>
        <v>7.25</v>
      </c>
      <c r="AV24" s="152">
        <f ca="1">IF($AM24&gt;0,OFFSET(S24,0,ROUNDUP($AK24/4,0))*$AJ24,"")</f>
        <v>14.5</v>
      </c>
      <c r="AW24" s="116">
        <f ca="1">IF($AM24&gt;0,OFFSET(T24,0,ROUNDUP($AK24/4,0))*$AJ24,"")</f>
        <v>7.25</v>
      </c>
      <c r="AX24" s="116">
        <f ca="1">IF($AM24&gt;0,OFFSET(U24,0,ROUNDUP($AK24/4,0))*$AJ24,"")</f>
        <v>14.5</v>
      </c>
      <c r="AY24" s="116">
        <f ca="1">IF($AM24&gt;0,OFFSET(V24,0,ROUNDUP($AK24/4,0))*$AJ24,"")</f>
        <v>7.25</v>
      </c>
      <c r="AZ24" s="116">
        <f ca="1">IF($AM24&gt;0,OFFSET(W24,0,ROUNDUP($AK24/4,0))*$AJ24,"")</f>
        <v>14.5</v>
      </c>
      <c r="BA24" s="116">
        <f ca="1">IF($AM24&gt;0,OFFSET(X24,0,ROUNDUP($AK24/4,0))*$AJ24,"")</f>
        <v>7.25</v>
      </c>
      <c r="BB24" s="116">
        <f ca="1">IF($AM24&gt;0,OFFSET(Y24,0,ROUNDUP($AK24/4,0))*$AJ24,"")</f>
        <v>14.5</v>
      </c>
      <c r="BC24" s="116">
        <f ca="1">IF($AM24&gt;0,OFFSET(Z24,0,ROUNDUP($AK24/4,0))*$AJ24,"")</f>
        <v>7.25</v>
      </c>
      <c r="BD24" s="116">
        <f ca="1">IF($AM24&gt;0,OFFSET(AA24,0,ROUNDUP($AK24/4,0))*$AJ24,"")</f>
        <v>14.25</v>
      </c>
      <c r="BE24" s="125">
        <f ca="1">IF($AM24&gt;0,OFFSET(AB24,0,ROUNDUP($AK24/4,0))*$AJ24,"")</f>
        <v>7.25</v>
      </c>
    </row>
    <row r="25" spans="1:57" x14ac:dyDescent="0.3">
      <c r="A25" s="81" t="s">
        <v>17</v>
      </c>
      <c r="B25" s="59">
        <v>20</v>
      </c>
      <c r="C25" s="59">
        <v>40</v>
      </c>
      <c r="D25" s="59">
        <v>40</v>
      </c>
      <c r="E25" s="80">
        <f t="shared" si="1"/>
        <v>40</v>
      </c>
      <c r="F25" s="69">
        <v>52.631578947368425</v>
      </c>
      <c r="G25" s="47">
        <v>52.631578947368425</v>
      </c>
      <c r="H25" s="61">
        <v>53</v>
      </c>
      <c r="I25" s="70">
        <v>64.432989690721655</v>
      </c>
      <c r="K25" s="98">
        <f t="shared" si="0"/>
        <v>40</v>
      </c>
      <c r="L25" s="98" t="s">
        <v>190</v>
      </c>
      <c r="Q25" s="117">
        <v>5</v>
      </c>
      <c r="R25" s="117">
        <v>5</v>
      </c>
      <c r="S25" s="117">
        <v>5</v>
      </c>
      <c r="T25" s="117">
        <v>5</v>
      </c>
      <c r="U25" s="117"/>
      <c r="V25" s="117"/>
      <c r="W25" s="117">
        <v>5</v>
      </c>
      <c r="X25" s="117"/>
      <c r="Y25" s="117">
        <v>5</v>
      </c>
      <c r="Z25" s="117">
        <v>5</v>
      </c>
      <c r="AA25" s="117">
        <v>5</v>
      </c>
      <c r="AB25" s="117"/>
      <c r="AC25" s="117">
        <f>5</f>
        <v>5</v>
      </c>
      <c r="AD25" s="117">
        <f>AC25</f>
        <v>5</v>
      </c>
      <c r="AE25" s="117">
        <f>AD25</f>
        <v>5</v>
      </c>
      <c r="AF25" s="117">
        <v>5</v>
      </c>
      <c r="AG25" s="117">
        <f>AF25</f>
        <v>5</v>
      </c>
      <c r="AH25" s="117">
        <v>5</v>
      </c>
      <c r="AI25" s="131">
        <v>5</v>
      </c>
      <c r="AJ25" s="134">
        <v>1.3</v>
      </c>
      <c r="AK25" s="135">
        <v>15</v>
      </c>
      <c r="AL25" s="106">
        <v>1</v>
      </c>
      <c r="AM25" s="122">
        <f>IF(AJ25&lt;&gt;"",SUM(Q25:AF25)*AJ25,"")</f>
        <v>78</v>
      </c>
      <c r="AN25" s="123">
        <f ca="1">IF(SUM(AP25:BE25)&gt;0,SUM(AP25:BE25),"")</f>
        <v>52</v>
      </c>
      <c r="AO25" s="123">
        <f t="shared" ca="1" si="5"/>
        <v>45.5</v>
      </c>
      <c r="AP25" s="158">
        <f ca="1">IF($AM25&gt;0,OFFSET(M25,0,ROUNDUP($AK25/4,0))*$AJ25,"")-1*6.5</f>
        <v>0</v>
      </c>
      <c r="AQ25" s="159">
        <f ca="1">IF($AM25&gt;0,OFFSET(N25,0,ROUNDUP($AK25/4,0))*$AJ25,"")-1*6.5</f>
        <v>0</v>
      </c>
      <c r="AR25" s="169">
        <f ca="1">IF($AM25&gt;0,OFFSET(O25,0,ROUNDUP($AK25/4,0))*$AJ25,"")-0*6.5</f>
        <v>6.5</v>
      </c>
      <c r="AS25" s="171">
        <f ca="1">IF($AM25&gt;0,OFFSET(P25,0,ROUNDUP($AK25/4,0))*$AJ25,"")-6.5*1</f>
        <v>0</v>
      </c>
      <c r="AT25" s="142">
        <f ca="1">IF($AM25&gt;0,OFFSET(Q25,0,ROUNDUP($AK25/4,0))*$AJ25,"")</f>
        <v>0</v>
      </c>
      <c r="AU25" s="116">
        <f ca="1">IF($AM25&gt;0,OFFSET(R25,0,ROUNDUP($AK25/4,0))*$AJ25,"")</f>
        <v>0</v>
      </c>
      <c r="AV25" s="152">
        <f ca="1">IF($AM25&gt;0,OFFSET(S25,0,ROUNDUP($AK25/4,0))*$AJ25,"")</f>
        <v>6.5</v>
      </c>
      <c r="AW25" s="116">
        <f ca="1">IF($AM25&gt;0,OFFSET(T25,0,ROUNDUP($AK25/4,0))*$AJ25,"")</f>
        <v>0</v>
      </c>
      <c r="AX25" s="172">
        <f ca="1">IF($AM25&gt;0,OFFSET(U25,0,ROUNDUP($AK25/4,0))*$AJ25,"")-6.5*1</f>
        <v>0</v>
      </c>
      <c r="AY25" s="182">
        <f ca="1">IF($AM25&gt;0,OFFSET(V25,0,ROUNDUP($AK25/4,0))*$AJ25,"")</f>
        <v>6.5</v>
      </c>
      <c r="AZ25" s="116">
        <f ca="1">IF($AM25&gt;0,OFFSET(W25,0,ROUNDUP($AK25/4,0))*$AJ25,"")</f>
        <v>6.5</v>
      </c>
      <c r="BA25" s="116">
        <f ca="1">IF($AM25&gt;0,OFFSET(X25,0,ROUNDUP($AK25/4,0))*$AJ25,"")</f>
        <v>0</v>
      </c>
      <c r="BB25" s="116">
        <f ca="1">IF($AM25&gt;0,OFFSET(Y25,0,ROUNDUP($AK25/4,0))*$AJ25,"")</f>
        <v>6.5</v>
      </c>
      <c r="BC25" s="116">
        <f ca="1">IF($AM25&gt;0,OFFSET(Z25,0,ROUNDUP($AK25/4,0))*$AJ25,"")</f>
        <v>6.5</v>
      </c>
      <c r="BD25" s="116">
        <f ca="1">IF($AM25&gt;0,OFFSET(AA25,0,ROUNDUP($AK25/4,0))*$AJ25,"")</f>
        <v>6.5</v>
      </c>
      <c r="BE25" s="125">
        <f ca="1">IF($AM25&gt;0,OFFSET(AB25,0,ROUNDUP($AK25/4,0))*$AJ25,"")</f>
        <v>6.5</v>
      </c>
    </row>
    <row r="26" spans="1:57" x14ac:dyDescent="0.3">
      <c r="A26" s="81" t="s">
        <v>27</v>
      </c>
      <c r="B26" s="59">
        <v>5</v>
      </c>
      <c r="C26" s="59">
        <v>0</v>
      </c>
      <c r="D26" s="59">
        <v>0</v>
      </c>
      <c r="E26" s="80">
        <v>0</v>
      </c>
      <c r="F26" s="69">
        <v>0</v>
      </c>
      <c r="G26" s="47">
        <v>0</v>
      </c>
      <c r="H26" s="61">
        <v>0</v>
      </c>
      <c r="I26" s="70">
        <v>29.587628865979379</v>
      </c>
      <c r="K26" s="98">
        <f t="shared" si="0"/>
        <v>0</v>
      </c>
      <c r="L26" s="98" t="s">
        <v>186</v>
      </c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31"/>
      <c r="AJ26" s="79"/>
      <c r="AK26" s="133"/>
      <c r="AM26" s="122" t="str">
        <f t="shared" si="4"/>
        <v/>
      </c>
      <c r="AN26" s="123" t="str">
        <f t="shared" ca="1" si="3"/>
        <v/>
      </c>
      <c r="AO26" s="123">
        <f t="shared" ca="1" si="5"/>
        <v>0</v>
      </c>
      <c r="AP26" s="77">
        <f ca="1">IF($AM26&gt;0,OFFSET(M26,0,ROUNDUP($AK26/4,0))*$AJ26,"")</f>
        <v>0</v>
      </c>
      <c r="AQ26" s="116">
        <f ca="1">IF($AM26&gt;0,OFFSET(N26,0,ROUNDUP($AK26/4,0))*$AJ26,"")</f>
        <v>0</v>
      </c>
      <c r="AR26" s="116">
        <f ca="1">IF($AM26&gt;0,OFFSET(O26,0,ROUNDUP($AK26/4,0))*$AJ26,"")</f>
        <v>0</v>
      </c>
      <c r="AS26" s="125">
        <f ca="1">IF($AM26&gt;0,OFFSET(P26,0,ROUNDUP($AK26/4,0))*$AJ26,"")</f>
        <v>0</v>
      </c>
      <c r="AT26" s="142">
        <f ca="1">IF($AM26&gt;0,OFFSET(Q26,0,ROUNDUP($AK26/4,0))*$AJ26,"")</f>
        <v>0</v>
      </c>
      <c r="AU26" s="116">
        <f ca="1">IF($AM26&gt;0,OFFSET(R26,0,ROUNDUP($AK26/4,0))*$AJ26,"")</f>
        <v>0</v>
      </c>
      <c r="AV26" s="116">
        <f ca="1">IF($AM26&gt;0,OFFSET(S26,0,ROUNDUP($AK26/4,0))*$AJ26,"")</f>
        <v>0</v>
      </c>
      <c r="AW26" s="116">
        <f ca="1">IF($AM26&gt;0,OFFSET(T26,0,ROUNDUP($AK26/4,0))*$AJ26,"")</f>
        <v>0</v>
      </c>
      <c r="AX26" s="116">
        <f ca="1">IF($AM26&gt;0,OFFSET(U26,0,ROUNDUP($AK26/4,0))*$AJ26,"")</f>
        <v>0</v>
      </c>
      <c r="AY26" s="116">
        <f ca="1">IF($AM26&gt;0,OFFSET(V26,0,ROUNDUP($AK26/4,0))*$AJ26,"")</f>
        <v>0</v>
      </c>
      <c r="AZ26" s="116">
        <f ca="1">IF($AM26&gt;0,OFFSET(W26,0,ROUNDUP($AK26/4,0))*$AJ26,"")</f>
        <v>0</v>
      </c>
      <c r="BA26" s="116">
        <f ca="1">IF($AM26&gt;0,OFFSET(X26,0,ROUNDUP($AK26/4,0))*$AJ26,"")</f>
        <v>0</v>
      </c>
      <c r="BB26" s="116">
        <f ca="1">IF($AM26&gt;0,OFFSET(Y26,0,ROUNDUP($AK26/4,0))*$AJ26,"")</f>
        <v>0</v>
      </c>
      <c r="BC26" s="116">
        <f ca="1">IF($AM26&gt;0,OFFSET(Z26,0,ROUNDUP($AK26/4,0))*$AJ26,"")</f>
        <v>0</v>
      </c>
      <c r="BD26" s="116">
        <f ca="1">IF($AM26&gt;0,OFFSET(AA26,0,ROUNDUP($AK26/4,0))*$AJ26,"")</f>
        <v>0</v>
      </c>
      <c r="BE26" s="125">
        <f ca="1">IF($AM26&gt;0,OFFSET(AB26,0,ROUNDUP($AK26/4,0))*$AJ26,"")</f>
        <v>0</v>
      </c>
    </row>
    <row r="27" spans="1:57" x14ac:dyDescent="0.3">
      <c r="A27" s="81" t="s">
        <v>11</v>
      </c>
      <c r="B27" s="59">
        <v>13.299999999999999</v>
      </c>
      <c r="C27" s="59">
        <v>21.1</v>
      </c>
      <c r="D27" s="59">
        <v>19.5</v>
      </c>
      <c r="E27" s="80">
        <f t="shared" si="1"/>
        <v>20.3</v>
      </c>
      <c r="F27" s="69">
        <v>0</v>
      </c>
      <c r="G27" s="47">
        <v>0</v>
      </c>
      <c r="H27" s="61">
        <v>0</v>
      </c>
      <c r="I27" s="70">
        <v>0</v>
      </c>
      <c r="K27" s="98">
        <f t="shared" si="0"/>
        <v>0</v>
      </c>
      <c r="L27" s="98" t="s">
        <v>186</v>
      </c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31"/>
      <c r="AJ27" s="79"/>
      <c r="AK27" s="133"/>
      <c r="AM27" s="122" t="str">
        <f t="shared" si="4"/>
        <v/>
      </c>
      <c r="AN27" s="123" t="str">
        <f t="shared" ca="1" si="3"/>
        <v/>
      </c>
      <c r="AO27" s="123">
        <f t="shared" ca="1" si="5"/>
        <v>0</v>
      </c>
      <c r="AP27" s="77">
        <f ca="1">IF($AM27&gt;0,OFFSET(M27,0,ROUNDUP($AK27/4,0))*$AJ27,"")</f>
        <v>0</v>
      </c>
      <c r="AQ27" s="116">
        <f ca="1">IF($AM27&gt;0,OFFSET(N27,0,ROUNDUP($AK27/4,0))*$AJ27,"")</f>
        <v>0</v>
      </c>
      <c r="AR27" s="116">
        <f ca="1">IF($AM27&gt;0,OFFSET(O27,0,ROUNDUP($AK27/4,0))*$AJ27,"")</f>
        <v>0</v>
      </c>
      <c r="AS27" s="125">
        <f ca="1">IF($AM27&gt;0,OFFSET(P27,0,ROUNDUP($AK27/4,0))*$AJ27,"")</f>
        <v>0</v>
      </c>
      <c r="AT27" s="142">
        <f ca="1">IF($AM27&gt;0,OFFSET(Q27,0,ROUNDUP($AK27/4,0))*$AJ27,"")</f>
        <v>0</v>
      </c>
      <c r="AU27" s="116">
        <f ca="1">IF($AM27&gt;0,OFFSET(R27,0,ROUNDUP($AK27/4,0))*$AJ27,"")</f>
        <v>0</v>
      </c>
      <c r="AV27" s="116">
        <f ca="1">IF($AM27&gt;0,OFFSET(S27,0,ROUNDUP($AK27/4,0))*$AJ27,"")</f>
        <v>0</v>
      </c>
      <c r="AW27" s="116">
        <f ca="1">IF($AM27&gt;0,OFFSET(T27,0,ROUNDUP($AK27/4,0))*$AJ27,"")</f>
        <v>0</v>
      </c>
      <c r="AX27" s="116">
        <f ca="1">IF($AM27&gt;0,OFFSET(U27,0,ROUNDUP($AK27/4,0))*$AJ27,"")</f>
        <v>0</v>
      </c>
      <c r="AY27" s="116">
        <f ca="1">IF($AM27&gt;0,OFFSET(V27,0,ROUNDUP($AK27/4,0))*$AJ27,"")</f>
        <v>0</v>
      </c>
      <c r="AZ27" s="116">
        <f ca="1">IF($AM27&gt;0,OFFSET(W27,0,ROUNDUP($AK27/4,0))*$AJ27,"")</f>
        <v>0</v>
      </c>
      <c r="BA27" s="116">
        <f ca="1">IF($AM27&gt;0,OFFSET(X27,0,ROUNDUP($AK27/4,0))*$AJ27,"")</f>
        <v>0</v>
      </c>
      <c r="BB27" s="116">
        <f ca="1">IF($AM27&gt;0,OFFSET(Y27,0,ROUNDUP($AK27/4,0))*$AJ27,"")</f>
        <v>0</v>
      </c>
      <c r="BC27" s="116">
        <f ca="1">IF($AM27&gt;0,OFFSET(Z27,0,ROUNDUP($AK27/4,0))*$AJ27,"")</f>
        <v>0</v>
      </c>
      <c r="BD27" s="116">
        <f ca="1">IF($AM27&gt;0,OFFSET(AA27,0,ROUNDUP($AK27/4,0))*$AJ27,"")</f>
        <v>0</v>
      </c>
      <c r="BE27" s="125">
        <f ca="1">IF($AM27&gt;0,OFFSET(AB27,0,ROUNDUP($AK27/4,0))*$AJ27,"")</f>
        <v>0</v>
      </c>
    </row>
    <row r="28" spans="1:57" x14ac:dyDescent="0.3">
      <c r="A28" s="83" t="s">
        <v>18</v>
      </c>
      <c r="B28" s="59">
        <v>23.207827000000012</v>
      </c>
      <c r="C28" s="59">
        <v>50</v>
      </c>
      <c r="D28" s="59">
        <v>0</v>
      </c>
      <c r="E28" s="80">
        <v>0</v>
      </c>
      <c r="F28" s="71">
        <v>0</v>
      </c>
      <c r="G28" s="59">
        <v>0</v>
      </c>
      <c r="H28" s="61">
        <v>0</v>
      </c>
      <c r="I28" s="70">
        <v>0</v>
      </c>
      <c r="J28" s="3" t="s">
        <v>179</v>
      </c>
      <c r="K28" s="98">
        <f t="shared" si="0"/>
        <v>5.5</v>
      </c>
      <c r="L28" s="104"/>
      <c r="M28" s="104"/>
      <c r="N28" s="104"/>
      <c r="O28" s="104"/>
      <c r="P28" s="104"/>
      <c r="Q28" s="144">
        <v>5.5</v>
      </c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31"/>
      <c r="AJ28" s="79">
        <v>1.3</v>
      </c>
      <c r="AK28" s="133">
        <v>12</v>
      </c>
      <c r="AM28" s="122">
        <f t="shared" si="4"/>
        <v>7.15</v>
      </c>
      <c r="AN28" s="123" t="str">
        <f t="shared" ca="1" si="3"/>
        <v/>
      </c>
      <c r="AO28" s="123">
        <f t="shared" ca="1" si="5"/>
        <v>0</v>
      </c>
      <c r="AP28" s="77">
        <f ca="1">IF($AM28&gt;0,OFFSET(M28,0,ROUNDUP($AK28/4,0))*$AJ28,"")</f>
        <v>0</v>
      </c>
      <c r="AQ28" s="175">
        <f ca="1">IF($AM28&gt;0,OFFSET(N28,0,ROUNDUP($AK28/4,0))*$AJ28,"")-1*7.15</f>
        <v>0</v>
      </c>
      <c r="AR28" s="116">
        <f ca="1">IF($AM28&gt;0,OFFSET(O28,0,ROUNDUP($AK28/4,0))*$AJ28,"")</f>
        <v>0</v>
      </c>
      <c r="AS28" s="125">
        <f ca="1">IF($AM28&gt;0,OFFSET(P28,0,ROUNDUP($AK28/4,0))*$AJ28,"")</f>
        <v>0</v>
      </c>
      <c r="AT28" s="142">
        <f ca="1">IF($AM28&gt;0,OFFSET(Q28,0,ROUNDUP($AK28/4,0))*$AJ28,"")</f>
        <v>0</v>
      </c>
      <c r="AU28" s="116">
        <f ca="1">IF($AM28&gt;0,OFFSET(R28,0,ROUNDUP($AK28/4,0))*$AJ28,"")</f>
        <v>0</v>
      </c>
      <c r="AV28" s="116">
        <f ca="1">IF($AM28&gt;0,OFFSET(S28,0,ROUNDUP($AK28/4,0))*$AJ28,"")</f>
        <v>0</v>
      </c>
      <c r="AW28" s="116">
        <f ca="1">IF($AM28&gt;0,OFFSET(T28,0,ROUNDUP($AK28/4,0))*$AJ28,"")</f>
        <v>0</v>
      </c>
      <c r="AX28" s="116">
        <f ca="1">IF($AM28&gt;0,OFFSET(U28,0,ROUNDUP($AK28/4,0))*$AJ28,"")</f>
        <v>0</v>
      </c>
      <c r="AY28" s="116">
        <f ca="1">IF($AM28&gt;0,OFFSET(V28,0,ROUNDUP($AK28/4,0))*$AJ28,"")</f>
        <v>0</v>
      </c>
      <c r="AZ28" s="116">
        <f ca="1">IF($AM28&gt;0,OFFSET(W28,0,ROUNDUP($AK28/4,0))*$AJ28,"")</f>
        <v>0</v>
      </c>
      <c r="BA28" s="116">
        <f ca="1">IF($AM28&gt;0,OFFSET(X28,0,ROUNDUP($AK28/4,0))*$AJ28,"")</f>
        <v>0</v>
      </c>
      <c r="BB28" s="116">
        <f ca="1">IF($AM28&gt;0,OFFSET(Y28,0,ROUNDUP($AK28/4,0))*$AJ28,"")</f>
        <v>0</v>
      </c>
      <c r="BC28" s="116">
        <f ca="1">IF($AM28&gt;0,OFFSET(Z28,0,ROUNDUP($AK28/4,0))*$AJ28,"")</f>
        <v>0</v>
      </c>
      <c r="BD28" s="116">
        <f ca="1">IF($AM28&gt;0,OFFSET(AA28,0,ROUNDUP($AK28/4,0))*$AJ28,"")</f>
        <v>0</v>
      </c>
      <c r="BE28" s="125">
        <f ca="1">IF($AM28&gt;0,OFFSET(AB28,0,ROUNDUP($AK28/4,0))*$AJ28,"")</f>
        <v>0</v>
      </c>
    </row>
    <row r="29" spans="1:57" x14ac:dyDescent="0.3">
      <c r="A29" s="83" t="s">
        <v>5</v>
      </c>
      <c r="B29" s="59">
        <v>0</v>
      </c>
      <c r="C29" s="60">
        <v>100</v>
      </c>
      <c r="D29" s="59">
        <v>50</v>
      </c>
      <c r="E29" s="80">
        <f t="shared" si="1"/>
        <v>75</v>
      </c>
      <c r="F29" s="69">
        <v>131.57894736842107</v>
      </c>
      <c r="G29" s="47">
        <v>65</v>
      </c>
      <c r="H29" s="61">
        <v>96</v>
      </c>
      <c r="I29" s="70">
        <v>193.29896907216497</v>
      </c>
      <c r="J29" s="3" t="s">
        <v>180</v>
      </c>
      <c r="K29" s="98">
        <f t="shared" si="0"/>
        <v>71.5</v>
      </c>
      <c r="L29" s="98" t="s">
        <v>190</v>
      </c>
      <c r="Q29" s="117"/>
      <c r="R29" s="117">
        <v>5.5</v>
      </c>
      <c r="S29" s="117">
        <f>5.5*2</f>
        <v>11</v>
      </c>
      <c r="T29" s="117">
        <v>5.5</v>
      </c>
      <c r="U29" s="117">
        <v>5.5</v>
      </c>
      <c r="V29" s="117">
        <v>5.5</v>
      </c>
      <c r="W29" s="117">
        <f>5.5*2</f>
        <v>11</v>
      </c>
      <c r="X29" s="117"/>
      <c r="Y29" s="117">
        <v>5.5</v>
      </c>
      <c r="Z29" s="117">
        <v>5.5</v>
      </c>
      <c r="AA29" s="117">
        <f>5.5*2</f>
        <v>11</v>
      </c>
      <c r="AB29" s="117">
        <v>5.5</v>
      </c>
      <c r="AC29" s="117"/>
      <c r="AD29" s="117">
        <f>5.5</f>
        <v>5.5</v>
      </c>
      <c r="AE29" s="117">
        <f>2*AD29</f>
        <v>11</v>
      </c>
      <c r="AF29" s="117">
        <v>5.5</v>
      </c>
      <c r="AG29" s="117">
        <f>2*AF29</f>
        <v>11</v>
      </c>
      <c r="AH29" s="117">
        <v>5.5</v>
      </c>
      <c r="AI29" s="131">
        <v>11</v>
      </c>
      <c r="AJ29" s="79">
        <v>1.3</v>
      </c>
      <c r="AK29" s="133">
        <v>14</v>
      </c>
      <c r="AL29" s="164">
        <v>1</v>
      </c>
      <c r="AM29" s="122">
        <f>IF(AJ29&lt;&gt;"",SUM(Q29:AF29)*AJ29,"")</f>
        <v>121.55</v>
      </c>
      <c r="AN29" s="123">
        <f t="shared" ca="1" si="3"/>
        <v>121.55000000000003</v>
      </c>
      <c r="AO29" s="123">
        <f t="shared" ca="1" si="5"/>
        <v>92.950000000000017</v>
      </c>
      <c r="AP29" s="77">
        <f ca="1">IF($AM29&gt;0,OFFSET(M29,0,ROUNDUP($AK29/4,0))*$AJ29,"")</f>
        <v>0</v>
      </c>
      <c r="AQ29" s="169">
        <f ca="1">IF($AM29&gt;0,OFFSET(N29,0,ROUNDUP($AK29/4,0))*$AJ29,"")-0*7.15</f>
        <v>7.15</v>
      </c>
      <c r="AR29" s="169">
        <f ca="1">IF($AM29&gt;0,OFFSET(O29,0,ROUNDUP($AK29/4,0))*$AJ29,"")-0*7.15</f>
        <v>14.3</v>
      </c>
      <c r="AS29" s="125">
        <f ca="1">IF($AM29&gt;0,OFFSET(P29,0,ROUNDUP($AK29/4,0))*$AJ29,"")</f>
        <v>7.15</v>
      </c>
      <c r="AT29" s="170">
        <f ca="1">IF($AM29&gt;0,OFFSET(Q29,0,ROUNDUP($AK29/4,0))*$AJ29,"")</f>
        <v>7.15</v>
      </c>
      <c r="AU29" s="152">
        <f ca="1">IF($AM29&gt;0,OFFSET(R29,0,ROUNDUP($AK29/4,0))*$AJ29,"")</f>
        <v>7.15</v>
      </c>
      <c r="AV29" s="152">
        <f ca="1">IF($AM29&gt;0,OFFSET(S29,0,ROUNDUP($AK29/4,0))*$AJ29,"")</f>
        <v>14.3</v>
      </c>
      <c r="AW29" s="116">
        <f ca="1">IF($AM29&gt;0,OFFSET(T29,0,ROUNDUP($AK29/4,0))*$AJ29,"")</f>
        <v>0</v>
      </c>
      <c r="AX29" s="116">
        <f ca="1">IF($AM29&gt;0,OFFSET(U29,0,ROUNDUP($AK29/4,0))*$AJ29,"")</f>
        <v>7.15</v>
      </c>
      <c r="AY29" s="116">
        <f ca="1">IF($AM29&gt;0,OFFSET(V29,0,ROUNDUP($AK29/4,0))*$AJ29,"")</f>
        <v>7.15</v>
      </c>
      <c r="AZ29" s="116">
        <f ca="1">IF($AM29&gt;0,OFFSET(W29,0,ROUNDUP($AK29/4,0))*$AJ29,"")</f>
        <v>14.3</v>
      </c>
      <c r="BA29" s="116">
        <f ca="1">IF($AM29&gt;0,OFFSET(X29,0,ROUNDUP($AK29/4,0))*$AJ29,"")</f>
        <v>7.15</v>
      </c>
      <c r="BB29" s="116">
        <f ca="1">IF($AM29&gt;0,OFFSET(Y29,0,ROUNDUP($AK29/4,0))*$AJ29,"")</f>
        <v>0</v>
      </c>
      <c r="BC29" s="116">
        <f ca="1">IF($AM29&gt;0,OFFSET(Z29,0,ROUNDUP($AK29/4,0))*$AJ29,"")</f>
        <v>7.15</v>
      </c>
      <c r="BD29" s="116">
        <f ca="1">IF($AM29&gt;0,OFFSET(AA29,0,ROUNDUP($AK29/4,0))*$AJ29,"")</f>
        <v>14.3</v>
      </c>
      <c r="BE29" s="125">
        <f ca="1">IF($AM29&gt;0,OFFSET(AB29,0,ROUNDUP($AK29/4,0))*$AJ29,"")</f>
        <v>7.15</v>
      </c>
    </row>
    <row r="30" spans="1:57" x14ac:dyDescent="0.3">
      <c r="A30" s="79" t="s">
        <v>25</v>
      </c>
      <c r="B30" s="59">
        <v>0</v>
      </c>
      <c r="C30" s="59">
        <v>0</v>
      </c>
      <c r="D30" s="102">
        <v>0</v>
      </c>
      <c r="E30" s="80">
        <f t="shared" si="1"/>
        <v>0</v>
      </c>
      <c r="F30" s="69">
        <v>0</v>
      </c>
      <c r="G30" s="47">
        <v>0</v>
      </c>
      <c r="H30" s="61">
        <v>0</v>
      </c>
      <c r="I30" s="70">
        <v>0</v>
      </c>
      <c r="K30" s="98">
        <f t="shared" si="0"/>
        <v>0</v>
      </c>
      <c r="L30" s="98" t="s">
        <v>186</v>
      </c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31"/>
      <c r="AJ30" s="79"/>
      <c r="AK30" s="133"/>
      <c r="AM30" s="122" t="str">
        <f t="shared" si="4"/>
        <v/>
      </c>
      <c r="AN30" s="123" t="str">
        <f t="shared" ca="1" si="3"/>
        <v/>
      </c>
      <c r="AO30" s="123">
        <f t="shared" ca="1" si="5"/>
        <v>0</v>
      </c>
      <c r="AP30" s="77">
        <f ca="1">IF($AM30&gt;0,OFFSET(M30,0,ROUNDUP($AK30/4,0))*$AJ30,"")</f>
        <v>0</v>
      </c>
      <c r="AQ30" s="116">
        <f ca="1">IF($AM30&gt;0,OFFSET(N30,0,ROUNDUP($AK30/4,0))*$AJ30,"")</f>
        <v>0</v>
      </c>
      <c r="AR30" s="116">
        <f ca="1">IF($AM30&gt;0,OFFSET(O30,0,ROUNDUP($AK30/4,0))*$AJ30,"")</f>
        <v>0</v>
      </c>
      <c r="AS30" s="125">
        <f ca="1">IF($AM30&gt;0,OFFSET(P30,0,ROUNDUP($AK30/4,0))*$AJ30,"")</f>
        <v>0</v>
      </c>
      <c r="AT30" s="142">
        <f ca="1">IF($AM30&gt;0,OFFSET(Q30,0,ROUNDUP($AK30/4,0))*$AJ30,"")</f>
        <v>0</v>
      </c>
      <c r="AU30" s="116">
        <f ca="1">IF($AM30&gt;0,OFFSET(R30,0,ROUNDUP($AK30/4,0))*$AJ30,"")</f>
        <v>0</v>
      </c>
      <c r="AV30" s="116">
        <f ca="1">IF($AM30&gt;0,OFFSET(S30,0,ROUNDUP($AK30/4,0))*$AJ30,"")</f>
        <v>0</v>
      </c>
      <c r="AW30" s="116">
        <f ca="1">IF($AM30&gt;0,OFFSET(T30,0,ROUNDUP($AK30/4,0))*$AJ30,"")</f>
        <v>0</v>
      </c>
      <c r="AX30" s="116">
        <f ca="1">IF($AM30&gt;0,OFFSET(U30,0,ROUNDUP($AK30/4,0))*$AJ30,"")</f>
        <v>0</v>
      </c>
      <c r="AY30" s="116">
        <f ca="1">IF($AM30&gt;0,OFFSET(V30,0,ROUNDUP($AK30/4,0))*$AJ30,"")</f>
        <v>0</v>
      </c>
      <c r="AZ30" s="116">
        <f ca="1">IF($AM30&gt;0,OFFSET(W30,0,ROUNDUP($AK30/4,0))*$AJ30,"")</f>
        <v>0</v>
      </c>
      <c r="BA30" s="116">
        <f ca="1">IF($AM30&gt;0,OFFSET(X30,0,ROUNDUP($AK30/4,0))*$AJ30,"")</f>
        <v>0</v>
      </c>
      <c r="BB30" s="116">
        <f ca="1">IF($AM30&gt;0,OFFSET(Y30,0,ROUNDUP($AK30/4,0))*$AJ30,"")</f>
        <v>0</v>
      </c>
      <c r="BC30" s="116">
        <f ca="1">IF($AM30&gt;0,OFFSET(Z30,0,ROUNDUP($AK30/4,0))*$AJ30,"")</f>
        <v>0</v>
      </c>
      <c r="BD30" s="116">
        <f ca="1">IF($AM30&gt;0,OFFSET(AA30,0,ROUNDUP($AK30/4,0))*$AJ30,"")</f>
        <v>0</v>
      </c>
      <c r="BE30" s="125">
        <f ca="1">IF($AM30&gt;0,OFFSET(AB30,0,ROUNDUP($AK30/4,0))*$AJ30,"")</f>
        <v>0</v>
      </c>
    </row>
    <row r="31" spans="1:57" x14ac:dyDescent="0.3">
      <c r="A31" s="79" t="s">
        <v>14</v>
      </c>
      <c r="B31" s="59">
        <v>23.490000000000002</v>
      </c>
      <c r="C31" s="59">
        <v>34</v>
      </c>
      <c r="D31" s="59">
        <v>9.75</v>
      </c>
      <c r="E31" s="97">
        <v>30</v>
      </c>
      <c r="F31" s="69">
        <v>13.421052631578947</v>
      </c>
      <c r="G31" s="47">
        <v>13.421052631578947</v>
      </c>
      <c r="H31" s="61">
        <v>7</v>
      </c>
      <c r="I31" s="70">
        <v>13.530927835051546</v>
      </c>
      <c r="K31" s="98">
        <f t="shared" si="0"/>
        <v>5.5</v>
      </c>
      <c r="L31" s="98" t="s">
        <v>190</v>
      </c>
      <c r="Q31" s="117"/>
      <c r="R31" s="117"/>
      <c r="S31" s="117"/>
      <c r="T31" s="117"/>
      <c r="U31" s="117"/>
      <c r="V31" s="117">
        <v>5.5</v>
      </c>
      <c r="W31" s="117"/>
      <c r="X31" s="117"/>
      <c r="Y31" s="117"/>
      <c r="Z31" s="117"/>
      <c r="AA31" s="117"/>
      <c r="AB31" s="117"/>
      <c r="AC31" s="117"/>
      <c r="AD31" s="117"/>
      <c r="AE31" s="117">
        <f>5.5</f>
        <v>5.5</v>
      </c>
      <c r="AF31" s="117"/>
      <c r="AG31" s="117"/>
      <c r="AH31" s="117"/>
      <c r="AI31" s="131"/>
      <c r="AJ31" s="79">
        <v>1.3</v>
      </c>
      <c r="AK31" s="133">
        <v>10</v>
      </c>
      <c r="AM31" s="122">
        <f t="shared" si="4"/>
        <v>14.3</v>
      </c>
      <c r="AN31" s="123">
        <f t="shared" ca="1" si="3"/>
        <v>14.3</v>
      </c>
      <c r="AO31" s="123">
        <f t="shared" ca="1" si="5"/>
        <v>14.3</v>
      </c>
      <c r="AP31" s="77">
        <f ca="1">IF($AM31&gt;0,OFFSET(M31,0,ROUNDUP($AK31/4,0))*$AJ31,"")</f>
        <v>0</v>
      </c>
      <c r="AQ31" s="116">
        <f ca="1">IF($AM31&gt;0,OFFSET(N31,0,ROUNDUP($AK31/4,0))*$AJ31,"")</f>
        <v>0</v>
      </c>
      <c r="AR31" s="116">
        <f ca="1">IF($AM31&gt;0,OFFSET(O31,0,ROUNDUP($AK31/4,0))*$AJ31,"")</f>
        <v>0</v>
      </c>
      <c r="AS31" s="125">
        <f ca="1">IF($AM31&gt;0,OFFSET(P31,0,ROUNDUP($AK31/4,0))*$AJ31,"")</f>
        <v>0</v>
      </c>
      <c r="AT31" s="142">
        <f ca="1">IF($AM31&gt;0,OFFSET(Q31,0,ROUNDUP($AK31/4,0))*$AJ31,"")</f>
        <v>0</v>
      </c>
      <c r="AU31" s="116">
        <f ca="1">IF($AM31&gt;0,OFFSET(R31,0,ROUNDUP($AK31/4,0))*$AJ31,"")</f>
        <v>0</v>
      </c>
      <c r="AV31" s="152">
        <f ca="1">IF($AM31&gt;0,OFFSET(S31,0,ROUNDUP($AK31/4,0))*$AJ31,"")</f>
        <v>7.15</v>
      </c>
      <c r="AW31" s="116">
        <f ca="1">IF($AM31&gt;0,OFFSET(T31,0,ROUNDUP($AK31/4,0))*$AJ31,"")</f>
        <v>0</v>
      </c>
      <c r="AX31" s="116">
        <f ca="1">IF($AM31&gt;0,OFFSET(U31,0,ROUNDUP($AK31/4,0))*$AJ31,"")</f>
        <v>0</v>
      </c>
      <c r="AY31" s="116">
        <f ca="1">IF($AM31&gt;0,OFFSET(V31,0,ROUNDUP($AK31/4,0))*$AJ31,"")</f>
        <v>0</v>
      </c>
      <c r="AZ31" s="116">
        <f ca="1">IF($AM31&gt;0,OFFSET(W31,0,ROUNDUP($AK31/4,0))*$AJ31,"")</f>
        <v>0</v>
      </c>
      <c r="BA31" s="116">
        <f ca="1">IF($AM31&gt;0,OFFSET(X31,0,ROUNDUP($AK31/4,0))*$AJ31,"")</f>
        <v>0</v>
      </c>
      <c r="BB31" s="116">
        <f ca="1">IF($AM31&gt;0,OFFSET(Y31,0,ROUNDUP($AK31/4,0))*$AJ31,"")</f>
        <v>0</v>
      </c>
      <c r="BC31" s="116">
        <f ca="1">IF($AM31&gt;0,OFFSET(Z31,0,ROUNDUP($AK31/4,0))*$AJ31,"")</f>
        <v>0</v>
      </c>
      <c r="BD31" s="116">
        <f ca="1">IF($AM31&gt;0,OFFSET(AA31,0,ROUNDUP($AK31/4,0))*$AJ31,"")</f>
        <v>0</v>
      </c>
      <c r="BE31" s="125">
        <f ca="1">IF($AM31&gt;0,OFFSET(AB31,0,ROUNDUP($AK31/4,0))*$AJ31,"")</f>
        <v>7.15</v>
      </c>
    </row>
    <row r="32" spans="1:57" x14ac:dyDescent="0.3">
      <c r="A32" s="79" t="s">
        <v>88</v>
      </c>
      <c r="B32" s="59">
        <v>306</v>
      </c>
      <c r="C32" s="59">
        <v>400</v>
      </c>
      <c r="D32" s="59">
        <v>400</v>
      </c>
      <c r="E32" s="80">
        <f t="shared" si="1"/>
        <v>400</v>
      </c>
      <c r="F32" s="69">
        <v>0</v>
      </c>
      <c r="G32" s="47">
        <v>0</v>
      </c>
      <c r="H32" s="61">
        <v>0</v>
      </c>
      <c r="I32" s="70">
        <v>0</v>
      </c>
      <c r="K32" s="98">
        <f t="shared" si="0"/>
        <v>0</v>
      </c>
      <c r="L32" s="98" t="s">
        <v>186</v>
      </c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31"/>
      <c r="AJ32" s="79"/>
      <c r="AK32" s="133"/>
      <c r="AM32" s="122" t="str">
        <f t="shared" si="4"/>
        <v/>
      </c>
      <c r="AN32" s="123" t="str">
        <f t="shared" ca="1" si="3"/>
        <v/>
      </c>
      <c r="AO32" s="123"/>
      <c r="AP32" s="77">
        <f ca="1">IF($AM32&gt;0,OFFSET(M32,0,ROUNDUP($AK32/4,0))*$AJ32,"")</f>
        <v>0</v>
      </c>
      <c r="AQ32" s="116">
        <f ca="1">IF($AM32&gt;0,OFFSET(N32,0,ROUNDUP($AK32/4,0))*$AJ32,"")</f>
        <v>0</v>
      </c>
      <c r="AR32" s="116">
        <f ca="1">IF($AM32&gt;0,OFFSET(O32,0,ROUNDUP($AK32/4,0))*$AJ32,"")</f>
        <v>0</v>
      </c>
      <c r="AS32" s="125">
        <f ca="1">IF($AM32&gt;0,OFFSET(P32,0,ROUNDUP($AK32/4,0))*$AJ32,"")</f>
        <v>0</v>
      </c>
      <c r="AT32" s="142">
        <f ca="1">IF($AM32&gt;0,OFFSET(Q32,0,ROUNDUP($AK32/4,0))*$AJ32,"")</f>
        <v>0</v>
      </c>
      <c r="AU32" s="116">
        <f ca="1">IF($AM32&gt;0,OFFSET(R32,0,ROUNDUP($AK32/4,0))*$AJ32,"")</f>
        <v>0</v>
      </c>
      <c r="AV32" s="116">
        <f ca="1">IF($AM32&gt;0,OFFSET(S32,0,ROUNDUP($AK32/4,0))*$AJ32,"")</f>
        <v>0</v>
      </c>
      <c r="AW32" s="116">
        <f ca="1">IF($AM32&gt;0,OFFSET(T32,0,ROUNDUP($AK32/4,0))*$AJ32,"")</f>
        <v>0</v>
      </c>
      <c r="AX32" s="116">
        <f ca="1">IF($AM32&gt;0,OFFSET(U32,0,ROUNDUP($AK32/4,0))*$AJ32,"")</f>
        <v>0</v>
      </c>
      <c r="AY32" s="116">
        <f ca="1">IF($AM32&gt;0,OFFSET(V32,0,ROUNDUP($AK32/4,0))*$AJ32,"")</f>
        <v>0</v>
      </c>
      <c r="AZ32" s="116">
        <f ca="1">IF($AM32&gt;0,OFFSET(W32,0,ROUNDUP($AK32/4,0))*$AJ32,"")</f>
        <v>0</v>
      </c>
      <c r="BA32" s="116">
        <f ca="1">IF($AM32&gt;0,OFFSET(X32,0,ROUNDUP($AK32/4,0))*$AJ32,"")</f>
        <v>0</v>
      </c>
      <c r="BB32" s="116">
        <f ca="1">IF($AM32&gt;0,OFFSET(Y32,0,ROUNDUP($AK32/4,0))*$AJ32,"")</f>
        <v>0</v>
      </c>
      <c r="BC32" s="116">
        <f ca="1">IF($AM32&gt;0,OFFSET(Z32,0,ROUNDUP($AK32/4,0))*$AJ32,"")</f>
        <v>0</v>
      </c>
      <c r="BD32" s="116">
        <f ca="1">IF($AM32&gt;0,OFFSET(AA32,0,ROUNDUP($AK32/4,0))*$AJ32,"")</f>
        <v>0</v>
      </c>
      <c r="BE32" s="125">
        <f ca="1">IF($AM32&gt;0,OFFSET(AB32,0,ROUNDUP($AK32/4,0))*$AJ32,"")</f>
        <v>0</v>
      </c>
    </row>
    <row r="33" spans="1:57" x14ac:dyDescent="0.3">
      <c r="A33" s="79" t="s">
        <v>92</v>
      </c>
      <c r="B33" s="59">
        <v>67</v>
      </c>
      <c r="C33" s="59">
        <v>30</v>
      </c>
      <c r="D33" s="59">
        <v>30</v>
      </c>
      <c r="E33" s="80">
        <f t="shared" si="1"/>
        <v>30</v>
      </c>
      <c r="F33" s="69">
        <v>0</v>
      </c>
      <c r="G33" s="47">
        <v>0</v>
      </c>
      <c r="H33" s="61">
        <v>0</v>
      </c>
      <c r="I33" s="70">
        <v>19.329896907216497</v>
      </c>
      <c r="K33" s="98">
        <f t="shared" si="0"/>
        <v>0</v>
      </c>
      <c r="L33" s="98" t="s">
        <v>186</v>
      </c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31"/>
      <c r="AJ33" s="79"/>
      <c r="AK33" s="133"/>
      <c r="AM33" s="122" t="str">
        <f t="shared" si="4"/>
        <v/>
      </c>
      <c r="AN33" s="123" t="str">
        <f t="shared" ca="1" si="3"/>
        <v/>
      </c>
      <c r="AO33" s="123"/>
      <c r="AP33" s="77">
        <f ca="1">IF($AM33&gt;0,OFFSET(M33,0,ROUNDUP($AK33/4,0))*$AJ33,"")</f>
        <v>0</v>
      </c>
      <c r="AQ33" s="116">
        <f ca="1">IF($AM33&gt;0,OFFSET(N33,0,ROUNDUP($AK33/4,0))*$AJ33,"")</f>
        <v>0</v>
      </c>
      <c r="AR33" s="116">
        <f ca="1">IF($AM33&gt;0,OFFSET(O33,0,ROUNDUP($AK33/4,0))*$AJ33,"")</f>
        <v>0</v>
      </c>
      <c r="AS33" s="125">
        <f ca="1">IF($AM33&gt;0,OFFSET(P33,0,ROUNDUP($AK33/4,0))*$AJ33,"")</f>
        <v>0</v>
      </c>
      <c r="AT33" s="142">
        <f ca="1">IF($AM33&gt;0,OFFSET(Q33,0,ROUNDUP($AK33/4,0))*$AJ33,"")</f>
        <v>0</v>
      </c>
      <c r="AU33" s="116">
        <f ca="1">IF($AM33&gt;0,OFFSET(R33,0,ROUNDUP($AK33/4,0))*$AJ33,"")</f>
        <v>0</v>
      </c>
      <c r="AV33" s="116">
        <f ca="1">IF($AM33&gt;0,OFFSET(S33,0,ROUNDUP($AK33/4,0))*$AJ33,"")</f>
        <v>0</v>
      </c>
      <c r="AW33" s="116">
        <f ca="1">IF($AM33&gt;0,OFFSET(T33,0,ROUNDUP($AK33/4,0))*$AJ33,"")</f>
        <v>0</v>
      </c>
      <c r="AX33" s="116">
        <f ca="1">IF($AM33&gt;0,OFFSET(U33,0,ROUNDUP($AK33/4,0))*$AJ33,"")</f>
        <v>0</v>
      </c>
      <c r="AY33" s="116">
        <f ca="1">IF($AM33&gt;0,OFFSET(V33,0,ROUNDUP($AK33/4,0))*$AJ33,"")</f>
        <v>0</v>
      </c>
      <c r="AZ33" s="116">
        <f ca="1">IF($AM33&gt;0,OFFSET(W33,0,ROUNDUP($AK33/4,0))*$AJ33,"")</f>
        <v>0</v>
      </c>
      <c r="BA33" s="116">
        <f ca="1">IF($AM33&gt;0,OFFSET(X33,0,ROUNDUP($AK33/4,0))*$AJ33,"")</f>
        <v>0</v>
      </c>
      <c r="BB33" s="116">
        <f ca="1">IF($AM33&gt;0,OFFSET(Y33,0,ROUNDUP($AK33/4,0))*$AJ33,"")</f>
        <v>0</v>
      </c>
      <c r="BC33" s="116">
        <f ca="1">IF($AM33&gt;0,OFFSET(Z33,0,ROUNDUP($AK33/4,0))*$AJ33,"")</f>
        <v>0</v>
      </c>
      <c r="BD33" s="116">
        <f ca="1">IF($AM33&gt;0,OFFSET(AA33,0,ROUNDUP($AK33/4,0))*$AJ33,"")</f>
        <v>0</v>
      </c>
      <c r="BE33" s="125">
        <f ca="1">IF($AM33&gt;0,OFFSET(AB33,0,ROUNDUP($AK33/4,0))*$AJ33,"")</f>
        <v>0</v>
      </c>
    </row>
    <row r="34" spans="1:57" x14ac:dyDescent="0.3">
      <c r="A34" s="79" t="s">
        <v>89</v>
      </c>
      <c r="B34" s="59">
        <v>17</v>
      </c>
      <c r="C34" s="59"/>
      <c r="D34" s="59">
        <v>0</v>
      </c>
      <c r="E34" s="80">
        <f t="shared" si="1"/>
        <v>0</v>
      </c>
      <c r="F34" s="69">
        <v>0</v>
      </c>
      <c r="G34" s="47">
        <v>0</v>
      </c>
      <c r="H34" s="61">
        <v>0</v>
      </c>
      <c r="I34" s="70">
        <v>0</v>
      </c>
      <c r="K34" s="98">
        <f t="shared" si="0"/>
        <v>0</v>
      </c>
      <c r="L34" s="98" t="s">
        <v>186</v>
      </c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32"/>
      <c r="AJ34" s="79"/>
      <c r="AK34" s="133"/>
      <c r="AM34" s="122" t="str">
        <f t="shared" si="4"/>
        <v/>
      </c>
      <c r="AN34" s="123" t="str">
        <f t="shared" ca="1" si="3"/>
        <v/>
      </c>
      <c r="AO34" s="123"/>
      <c r="AP34" s="77">
        <f ca="1">IF($AM34&gt;0,OFFSET(M34,0,ROUNDUP($AK34/4,0))*$AJ34,"")</f>
        <v>0</v>
      </c>
      <c r="AQ34" s="116">
        <f ca="1">IF($AM34&gt;0,OFFSET(N34,0,ROUNDUP($AK34/4,0))*$AJ34,"")</f>
        <v>0</v>
      </c>
      <c r="AR34" s="116">
        <f ca="1">IF($AM34&gt;0,OFFSET(O34,0,ROUNDUP($AK34/4,0))*$AJ34,"")</f>
        <v>0</v>
      </c>
      <c r="AS34" s="125">
        <f ca="1">IF($AM34&gt;0,OFFSET(P34,0,ROUNDUP($AK34/4,0))*$AJ34,"")</f>
        <v>0</v>
      </c>
      <c r="AT34" s="142">
        <f ca="1">IF($AM34&gt;0,OFFSET(Q34,0,ROUNDUP($AK34/4,0))*$AJ34,"")</f>
        <v>0</v>
      </c>
      <c r="AU34" s="116">
        <f ca="1">IF($AM34&gt;0,OFFSET(R34,0,ROUNDUP($AK34/4,0))*$AJ34,"")</f>
        <v>0</v>
      </c>
      <c r="AV34" s="116">
        <f ca="1">IF($AM34&gt;0,OFFSET(S34,0,ROUNDUP($AK34/4,0))*$AJ34,"")</f>
        <v>0</v>
      </c>
      <c r="AW34" s="116">
        <f ca="1">IF($AM34&gt;0,OFFSET(T34,0,ROUNDUP($AK34/4,0))*$AJ34,"")</f>
        <v>0</v>
      </c>
      <c r="AX34" s="116">
        <f ca="1">IF($AM34&gt;0,OFFSET(U34,0,ROUNDUP($AK34/4,0))*$AJ34,"")</f>
        <v>0</v>
      </c>
      <c r="AY34" s="116">
        <f ca="1">IF($AM34&gt;0,OFFSET(V34,0,ROUNDUP($AK34/4,0))*$AJ34,"")</f>
        <v>0</v>
      </c>
      <c r="AZ34" s="116">
        <f ca="1">IF($AM34&gt;0,OFFSET(W34,0,ROUNDUP($AK34/4,0))*$AJ34,"")</f>
        <v>0</v>
      </c>
      <c r="BA34" s="116">
        <f ca="1">IF($AM34&gt;0,OFFSET(X34,0,ROUNDUP($AK34/4,0))*$AJ34,"")</f>
        <v>0</v>
      </c>
      <c r="BB34" s="116">
        <f ca="1">IF($AM34&gt;0,OFFSET(Y34,0,ROUNDUP($AK34/4,0))*$AJ34,"")</f>
        <v>0</v>
      </c>
      <c r="BC34" s="116">
        <f ca="1">IF($AM34&gt;0,OFFSET(Z34,0,ROUNDUP($AK34/4,0))*$AJ34,"")</f>
        <v>0</v>
      </c>
      <c r="BD34" s="116">
        <f ca="1">IF($AM34&gt;0,OFFSET(AA34,0,ROUNDUP($AK34/4,0))*$AJ34,"")</f>
        <v>0</v>
      </c>
      <c r="BE34" s="125">
        <f ca="1">IF($AM34&gt;0,OFFSET(AB34,0,ROUNDUP($AK34/4,0))*$AJ34,"")</f>
        <v>0</v>
      </c>
    </row>
    <row r="35" spans="1:57" ht="15" thickBot="1" x14ac:dyDescent="0.35">
      <c r="A35" s="84" t="s">
        <v>90</v>
      </c>
      <c r="B35" s="53">
        <v>0</v>
      </c>
      <c r="C35" s="53"/>
      <c r="D35" s="53">
        <v>0</v>
      </c>
      <c r="E35" s="85">
        <f t="shared" si="1"/>
        <v>0</v>
      </c>
      <c r="F35" s="72">
        <v>0</v>
      </c>
      <c r="G35" s="54">
        <v>0</v>
      </c>
      <c r="H35" s="64">
        <v>0</v>
      </c>
      <c r="I35" s="73">
        <v>0</v>
      </c>
      <c r="K35" s="98">
        <f t="shared" si="0"/>
        <v>0</v>
      </c>
      <c r="L35" s="98" t="s">
        <v>186</v>
      </c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32"/>
      <c r="AJ35" s="136"/>
      <c r="AK35" s="137"/>
      <c r="AM35" s="139" t="str">
        <f t="shared" si="4"/>
        <v/>
      </c>
      <c r="AN35" s="105" t="str">
        <f t="shared" ca="1" si="3"/>
        <v/>
      </c>
      <c r="AO35" s="105"/>
      <c r="AP35" s="126">
        <f ca="1">IF($AM35&gt;0,OFFSET(M35,0,ROUNDUP($AK35/4,0))*$AJ35,"")</f>
        <v>0</v>
      </c>
      <c r="AQ35" s="127">
        <f ca="1">IF($AM35&gt;0,OFFSET(N35,0,ROUNDUP($AK35/4,0))*$AJ35,"")</f>
        <v>0</v>
      </c>
      <c r="AR35" s="127">
        <f ca="1">IF($AM35&gt;0,OFFSET(O35,0,ROUNDUP($AK35/4,0))*$AJ35,"")</f>
        <v>0</v>
      </c>
      <c r="AS35" s="128">
        <f ca="1">IF($AM35&gt;0,OFFSET(P35,0,ROUNDUP($AK35/4,0))*$AJ35,"")</f>
        <v>0</v>
      </c>
      <c r="AT35" s="143">
        <f ca="1">IF($AM35&gt;0,OFFSET(Q35,0,ROUNDUP($AK35/4,0))*$AJ35,"")</f>
        <v>0</v>
      </c>
      <c r="AU35" s="127">
        <f ca="1">IF($AM35&gt;0,OFFSET(R35,0,ROUNDUP($AK35/4,0))*$AJ35,"")</f>
        <v>0</v>
      </c>
      <c r="AV35" s="127">
        <f ca="1">IF($AM35&gt;0,OFFSET(S35,0,ROUNDUP($AK35/4,0))*$AJ35,"")</f>
        <v>0</v>
      </c>
      <c r="AW35" s="127">
        <f ca="1">IF($AM35&gt;0,OFFSET(T35,0,ROUNDUP($AK35/4,0))*$AJ35,"")</f>
        <v>0</v>
      </c>
      <c r="AX35" s="127">
        <f ca="1">IF($AM35&gt;0,OFFSET(U35,0,ROUNDUP($AK35/4,0))*$AJ35,"")</f>
        <v>0</v>
      </c>
      <c r="AY35" s="127">
        <f ca="1">IF($AM35&gt;0,OFFSET(V35,0,ROUNDUP($AK35/4,0))*$AJ35,"")</f>
        <v>0</v>
      </c>
      <c r="AZ35" s="127">
        <f ca="1">IF($AM35&gt;0,OFFSET(W35,0,ROUNDUP($AK35/4,0))*$AJ35,"")</f>
        <v>0</v>
      </c>
      <c r="BA35" s="127">
        <f ca="1">IF($AM35&gt;0,OFFSET(X35,0,ROUNDUP($AK35/4,0))*$AJ35,"")</f>
        <v>0</v>
      </c>
      <c r="BB35" s="127">
        <f ca="1">IF($AM35&gt;0,OFFSET(Y35,0,ROUNDUP($AK35/4,0))*$AJ35,"")</f>
        <v>0</v>
      </c>
      <c r="BC35" s="127">
        <f ca="1">IF($AM35&gt;0,OFFSET(Z35,0,ROUNDUP($AK35/4,0))*$AJ35,"")</f>
        <v>0</v>
      </c>
      <c r="BD35" s="127">
        <f ca="1">IF($AM35&gt;0,OFFSET(AA35,0,ROUNDUP($AK35/4,0))*$AJ35,"")</f>
        <v>0</v>
      </c>
      <c r="BE35" s="128">
        <f ca="1">IF($AM35&gt;0,OFFSET(AB35,0,ROUNDUP($AK35/4,0))*$AJ35,"")</f>
        <v>0</v>
      </c>
    </row>
    <row r="36" spans="1:57" s="91" customFormat="1" ht="31.5" customHeight="1" x14ac:dyDescent="0.3">
      <c r="A36" s="55" t="s">
        <v>170</v>
      </c>
      <c r="B36" s="56">
        <f>SUM(B5:B35)</f>
        <v>1833.9978269999999</v>
      </c>
      <c r="C36" s="56">
        <f t="shared" ref="C36:I36" si="7">SUM(C5:C35)</f>
        <v>2260.6073749999996</v>
      </c>
      <c r="D36" s="56">
        <f t="shared" si="7"/>
        <v>1769.5309999999999</v>
      </c>
      <c r="E36" s="62">
        <f t="shared" si="7"/>
        <v>1994.5941875000001</v>
      </c>
      <c r="F36" s="56">
        <f t="shared" si="7"/>
        <v>718.86930810171498</v>
      </c>
      <c r="G36" s="56">
        <f t="shared" si="7"/>
        <v>484.4016853932585</v>
      </c>
      <c r="H36" s="62">
        <f t="shared" si="7"/>
        <v>601.27631578947376</v>
      </c>
      <c r="I36" s="56">
        <f t="shared" si="7"/>
        <v>1189.9278624860542</v>
      </c>
      <c r="K36" s="101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N36" s="160">
        <f ca="1">AN1-AM1</f>
        <v>-39.649999999999977</v>
      </c>
      <c r="AO36" s="160"/>
      <c r="AP36" s="91">
        <f ca="1">SUM(AP3:AP35)</f>
        <v>0</v>
      </c>
      <c r="AQ36" s="91">
        <f ca="1">SUM(AQ3:AQ35)</f>
        <v>7.15</v>
      </c>
      <c r="AR36" s="91">
        <f ca="1">SUM(AR3:AR35)</f>
        <v>27.46</v>
      </c>
      <c r="AS36" s="91">
        <f ca="1">SUM(AS3:AS35)</f>
        <v>20.310000000000002</v>
      </c>
      <c r="AT36" s="91">
        <f t="shared" ref="AT36:BE36" ca="1" si="8">SUM(AT3:AT35)</f>
        <v>41.47</v>
      </c>
      <c r="AU36" s="91">
        <f t="shared" ca="1" si="8"/>
        <v>27.560000000000002</v>
      </c>
      <c r="AV36" s="91">
        <f t="shared" ca="1" si="8"/>
        <v>76.31</v>
      </c>
      <c r="AW36" s="91">
        <f t="shared" ca="1" si="8"/>
        <v>26.91</v>
      </c>
      <c r="AX36" s="91">
        <f t="shared" ca="1" si="8"/>
        <v>28.310000000000002</v>
      </c>
      <c r="AY36" s="91">
        <f t="shared" ca="1" si="8"/>
        <v>34.06</v>
      </c>
      <c r="AZ36" s="91">
        <f t="shared" ca="1" si="8"/>
        <v>89.41</v>
      </c>
      <c r="BA36" s="91">
        <f t="shared" ca="1" si="8"/>
        <v>91.93</v>
      </c>
      <c r="BB36" s="91">
        <f t="shared" ca="1" si="8"/>
        <v>68.34</v>
      </c>
      <c r="BC36" s="91">
        <f t="shared" ca="1" si="8"/>
        <v>47.38</v>
      </c>
      <c r="BD36" s="91">
        <f t="shared" ca="1" si="8"/>
        <v>68.03</v>
      </c>
      <c r="BE36" s="91">
        <f t="shared" ca="1" si="8"/>
        <v>61.03</v>
      </c>
    </row>
    <row r="37" spans="1:57" s="58" customFormat="1" ht="25.95" customHeight="1" thickBot="1" x14ac:dyDescent="0.35">
      <c r="A37" s="86" t="s">
        <v>183</v>
      </c>
      <c r="B37" s="87">
        <f>B36-B32- B24</f>
        <v>1471.9978269999999</v>
      </c>
      <c r="C37" s="87">
        <f t="shared" ref="C37:E37" si="9">C36-C32- C24</f>
        <v>1710.6073749999996</v>
      </c>
      <c r="D37" s="87">
        <f t="shared" si="9"/>
        <v>1269.5309999999999</v>
      </c>
      <c r="E37" s="87">
        <f t="shared" si="9"/>
        <v>1469.5941875000001</v>
      </c>
      <c r="F37" s="88"/>
      <c r="G37" s="89"/>
      <c r="H37" s="89"/>
      <c r="I37" s="90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</row>
    <row r="38" spans="1:57" ht="15" thickBot="1" x14ac:dyDescent="0.35">
      <c r="AM38" s="3"/>
      <c r="AP38">
        <f ca="1">ROUNDUP(AP36/7.1,0)</f>
        <v>0</v>
      </c>
      <c r="AQ38">
        <f t="shared" ref="AQ38:BE38" ca="1" si="10">ROUNDUP(AQ36/7.1,0)</f>
        <v>2</v>
      </c>
      <c r="AR38">
        <f t="shared" ca="1" si="10"/>
        <v>4</v>
      </c>
      <c r="AS38">
        <f t="shared" ca="1" si="10"/>
        <v>3</v>
      </c>
      <c r="AT38">
        <f t="shared" ca="1" si="10"/>
        <v>6</v>
      </c>
      <c r="AU38">
        <f t="shared" ca="1" si="10"/>
        <v>4</v>
      </c>
      <c r="AV38">
        <f t="shared" ca="1" si="10"/>
        <v>11</v>
      </c>
      <c r="AW38">
        <f t="shared" ca="1" si="10"/>
        <v>4</v>
      </c>
      <c r="AX38">
        <f t="shared" ca="1" si="10"/>
        <v>4</v>
      </c>
      <c r="AY38">
        <f t="shared" ca="1" si="10"/>
        <v>5</v>
      </c>
      <c r="AZ38">
        <f t="shared" ca="1" si="10"/>
        <v>13</v>
      </c>
      <c r="BA38">
        <f t="shared" ca="1" si="10"/>
        <v>13</v>
      </c>
      <c r="BB38">
        <f t="shared" ca="1" si="10"/>
        <v>10</v>
      </c>
      <c r="BC38">
        <f t="shared" ca="1" si="10"/>
        <v>7</v>
      </c>
      <c r="BD38">
        <f t="shared" ca="1" si="10"/>
        <v>10</v>
      </c>
      <c r="BE38">
        <f t="shared" ca="1" si="10"/>
        <v>9</v>
      </c>
    </row>
    <row r="39" spans="1:57" x14ac:dyDescent="0.3">
      <c r="A39" s="145" t="s">
        <v>188</v>
      </c>
      <c r="B39" s="146"/>
      <c r="C39" s="146"/>
      <c r="D39" s="146"/>
      <c r="E39" s="146"/>
      <c r="F39" s="146"/>
      <c r="G39" s="146"/>
      <c r="H39" s="157">
        <f>(6-1)*7</f>
        <v>35</v>
      </c>
      <c r="AI39" s="183">
        <f>SUM(AP39:AY39)</f>
        <v>3</v>
      </c>
      <c r="AJ39" s="3" t="s">
        <v>207</v>
      </c>
      <c r="AN39" s="161">
        <f>AI39*7</f>
        <v>21</v>
      </c>
      <c r="AO39" s="161"/>
      <c r="AP39" s="116">
        <v>1</v>
      </c>
      <c r="AQ39" s="116">
        <f>1</f>
        <v>1</v>
      </c>
      <c r="AR39" s="116">
        <f>1</f>
        <v>1</v>
      </c>
      <c r="AS39" s="116"/>
      <c r="AT39" s="116"/>
      <c r="AU39" s="116"/>
      <c r="AV39" s="116"/>
      <c r="AW39" s="116"/>
      <c r="AX39" s="116"/>
      <c r="AY39" s="116"/>
    </row>
    <row r="40" spans="1:57" ht="15" thickBot="1" x14ac:dyDescent="0.35">
      <c r="A40" s="147" t="s">
        <v>189</v>
      </c>
      <c r="B40" s="148"/>
      <c r="C40" s="148"/>
      <c r="D40" s="148"/>
      <c r="E40" s="148"/>
      <c r="F40" s="148"/>
      <c r="G40" s="148"/>
      <c r="H40" s="149">
        <f>3*7</f>
        <v>21</v>
      </c>
      <c r="AI40" s="184">
        <f>SUM(AP40:AY40)</f>
        <v>1</v>
      </c>
      <c r="AJ40" s="3" t="s">
        <v>208</v>
      </c>
      <c r="AL40" s="3"/>
      <c r="AN40" s="161">
        <f>AI40*7</f>
        <v>7</v>
      </c>
      <c r="AO40" s="161"/>
      <c r="AP40" s="116"/>
      <c r="AQ40" s="116">
        <v>1</v>
      </c>
      <c r="AR40" s="116"/>
      <c r="AS40" s="116"/>
      <c r="AT40" s="116"/>
      <c r="AU40" s="116"/>
      <c r="AV40" s="116"/>
      <c r="AW40" s="116"/>
      <c r="AX40" s="116"/>
      <c r="AY40" s="116"/>
    </row>
    <row r="41" spans="1:57" x14ac:dyDescent="0.3">
      <c r="AI41" s="185">
        <f>SUM(AP41:AY41)</f>
        <v>2</v>
      </c>
      <c r="AJ41" s="174" t="s">
        <v>212</v>
      </c>
      <c r="AO41" s="161"/>
      <c r="AP41" s="116"/>
      <c r="AQ41" s="116"/>
      <c r="AR41" s="116"/>
      <c r="AS41" s="116">
        <v>1</v>
      </c>
      <c r="AT41" s="116"/>
      <c r="AU41" s="116"/>
      <c r="AV41" s="116"/>
      <c r="AW41" s="116"/>
      <c r="AX41" s="116">
        <v>1</v>
      </c>
      <c r="AY41" s="116"/>
    </row>
    <row r="42" spans="1:57" x14ac:dyDescent="0.3">
      <c r="A42" s="3" t="s">
        <v>197</v>
      </c>
      <c r="AJ42" s="3"/>
    </row>
    <row r="43" spans="1:57" x14ac:dyDescent="0.3">
      <c r="B43" s="3" t="s">
        <v>198</v>
      </c>
      <c r="C43" s="3" t="s">
        <v>199</v>
      </c>
      <c r="D43" s="3" t="s">
        <v>201</v>
      </c>
    </row>
    <row r="44" spans="1:57" x14ac:dyDescent="0.3">
      <c r="B44" s="3" t="s">
        <v>202</v>
      </c>
    </row>
    <row r="45" spans="1:57" x14ac:dyDescent="0.3">
      <c r="B45" s="3" t="s">
        <v>203</v>
      </c>
    </row>
    <row r="46" spans="1:57" x14ac:dyDescent="0.3">
      <c r="B46" s="3" t="s">
        <v>204</v>
      </c>
    </row>
    <row r="47" spans="1:57" x14ac:dyDescent="0.3">
      <c r="B47" s="3" t="s">
        <v>205</v>
      </c>
    </row>
    <row r="48" spans="1:57" x14ac:dyDescent="0.3">
      <c r="B48" s="3" t="s">
        <v>206</v>
      </c>
    </row>
    <row r="49" spans="1:16" x14ac:dyDescent="0.3">
      <c r="B49" s="3" t="s">
        <v>200</v>
      </c>
      <c r="L49" s="98" t="s">
        <v>225</v>
      </c>
    </row>
    <row r="50" spans="1:16" x14ac:dyDescent="0.3">
      <c r="A50" s="162">
        <v>44019</v>
      </c>
      <c r="B50" s="3" t="s">
        <v>210</v>
      </c>
      <c r="J50" s="98" t="s">
        <v>226</v>
      </c>
      <c r="L50" s="117">
        <v>1</v>
      </c>
      <c r="M50" s="117">
        <v>2</v>
      </c>
      <c r="N50" s="117">
        <v>3</v>
      </c>
    </row>
    <row r="51" spans="1:16" ht="85.8" customHeight="1" x14ac:dyDescent="0.3">
      <c r="B51" s="167" t="s">
        <v>213</v>
      </c>
      <c r="C51" s="167"/>
      <c r="D51" s="167"/>
      <c r="E51" s="167"/>
      <c r="F51" s="167"/>
      <c r="G51" s="167"/>
      <c r="H51" s="167"/>
      <c r="I51" s="167"/>
      <c r="J51" s="186" t="s">
        <v>221</v>
      </c>
      <c r="K51" s="187"/>
      <c r="L51" s="118">
        <f>1+1+3</f>
        <v>5</v>
      </c>
      <c r="M51" s="118">
        <v>8</v>
      </c>
      <c r="N51" s="118">
        <f>M51+21</f>
        <v>29</v>
      </c>
      <c r="O51" s="101"/>
      <c r="P51" s="101"/>
    </row>
    <row r="52" spans="1:16" ht="32.4" customHeight="1" x14ac:dyDescent="0.3">
      <c r="B52" s="166" t="s">
        <v>215</v>
      </c>
      <c r="C52" s="166"/>
      <c r="D52" s="166"/>
      <c r="E52" s="166"/>
      <c r="F52" s="166"/>
      <c r="G52" s="166"/>
      <c r="H52" s="166"/>
      <c r="I52" s="166"/>
      <c r="J52" s="180" t="s">
        <v>222</v>
      </c>
      <c r="L52" s="118">
        <f>0+1+3</f>
        <v>4</v>
      </c>
      <c r="M52" s="118">
        <f>L52+2</f>
        <v>6</v>
      </c>
      <c r="N52" s="118">
        <f>M52+11</f>
        <v>17</v>
      </c>
      <c r="O52" s="101"/>
      <c r="P52" s="101"/>
    </row>
    <row r="53" spans="1:16" x14ac:dyDescent="0.3">
      <c r="B53" s="165" t="s">
        <v>215</v>
      </c>
      <c r="C53" s="165"/>
      <c r="D53" s="165"/>
      <c r="E53" s="165"/>
      <c r="F53" s="165"/>
      <c r="G53" s="165"/>
    </row>
  </sheetData>
  <autoFilter ref="A3:I37" xr:uid="{C6F962FC-9C0E-42C5-8DE8-B9E5AC72C986}"/>
  <mergeCells count="5">
    <mergeCell ref="B2:E2"/>
    <mergeCell ref="F2:I2"/>
    <mergeCell ref="B51:I51"/>
    <mergeCell ref="B53:G53"/>
    <mergeCell ref="B52:I52"/>
  </mergeCells>
  <conditionalFormatting sqref="AL8:AL3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A17" sqref="AA17"/>
    </sheetView>
    <sheetView workbookViewId="1"/>
  </sheetViews>
  <sheetFormatPr baseColWidth="10" defaultRowHeight="14.4" x14ac:dyDescent="0.3"/>
  <cols>
    <col min="1" max="1" width="9.44140625" customWidth="1"/>
    <col min="2" max="2" width="44.88671875" customWidth="1"/>
    <col min="13" max="13" width="28.109375" customWidth="1"/>
    <col min="24" max="24" width="25.33203125" customWidth="1"/>
    <col min="35" max="35" width="19.6640625" customWidth="1"/>
  </cols>
  <sheetData>
    <row r="1" spans="1:45" x14ac:dyDescent="0.3">
      <c r="A1" s="3" t="s">
        <v>100</v>
      </c>
      <c r="C1">
        <v>1.19</v>
      </c>
      <c r="D1">
        <f>C1</f>
        <v>1.19</v>
      </c>
      <c r="E1">
        <v>1.2</v>
      </c>
      <c r="F1">
        <v>1.23</v>
      </c>
      <c r="G1">
        <v>1.2490000000000001</v>
      </c>
      <c r="H1">
        <v>1.2669999999999999</v>
      </c>
      <c r="I1">
        <f t="shared" ref="I1:L1" si="0">H1</f>
        <v>1.2669999999999999</v>
      </c>
      <c r="J1">
        <f t="shared" si="0"/>
        <v>1.2669999999999999</v>
      </c>
      <c r="K1">
        <f t="shared" si="0"/>
        <v>1.2669999999999999</v>
      </c>
      <c r="L1">
        <f t="shared" si="0"/>
        <v>1.2669999999999999</v>
      </c>
      <c r="N1">
        <v>1.19</v>
      </c>
      <c r="O1">
        <f>N1</f>
        <v>1.19</v>
      </c>
      <c r="P1">
        <v>1.2</v>
      </c>
      <c r="Q1">
        <v>1.23</v>
      </c>
      <c r="R1">
        <v>1.2490000000000001</v>
      </c>
      <c r="S1">
        <v>1.2669999999999999</v>
      </c>
      <c r="T1">
        <f t="shared" ref="T1:W1" si="1">S1</f>
        <v>1.2669999999999999</v>
      </c>
      <c r="U1">
        <f t="shared" si="1"/>
        <v>1.2669999999999999</v>
      </c>
      <c r="V1">
        <f t="shared" si="1"/>
        <v>1.2669999999999999</v>
      </c>
      <c r="W1">
        <f t="shared" si="1"/>
        <v>1.2669999999999999</v>
      </c>
      <c r="Y1">
        <v>1.19</v>
      </c>
      <c r="Z1">
        <f>Y1</f>
        <v>1.19</v>
      </c>
      <c r="AA1">
        <v>1.2</v>
      </c>
      <c r="AB1">
        <v>1.23</v>
      </c>
      <c r="AC1">
        <v>1.2490000000000001</v>
      </c>
      <c r="AD1">
        <v>1.2669999999999999</v>
      </c>
      <c r="AE1">
        <f t="shared" ref="AE1:AH1" si="2">AD1</f>
        <v>1.2669999999999999</v>
      </c>
      <c r="AF1">
        <f t="shared" si="2"/>
        <v>1.2669999999999999</v>
      </c>
      <c r="AG1">
        <f t="shared" si="2"/>
        <v>1.2669999999999999</v>
      </c>
      <c r="AH1">
        <f t="shared" si="2"/>
        <v>1.2669999999999999</v>
      </c>
      <c r="AJ1">
        <v>1.19</v>
      </c>
      <c r="AK1">
        <f>AJ1</f>
        <v>1.19</v>
      </c>
      <c r="AL1">
        <v>1.2</v>
      </c>
      <c r="AM1">
        <v>1.23</v>
      </c>
      <c r="AN1">
        <v>1.2490000000000001</v>
      </c>
      <c r="AO1">
        <v>1.2669999999999999</v>
      </c>
      <c r="AP1">
        <f t="shared" ref="AP1:AS1" si="3">AO1</f>
        <v>1.2669999999999999</v>
      </c>
      <c r="AQ1">
        <f t="shared" si="3"/>
        <v>1.2669999999999999</v>
      </c>
      <c r="AR1">
        <f t="shared" si="3"/>
        <v>1.2669999999999999</v>
      </c>
      <c r="AS1">
        <f t="shared" si="3"/>
        <v>1.2669999999999999</v>
      </c>
    </row>
    <row r="2" spans="1:45" ht="33" customHeight="1" x14ac:dyDescent="0.4">
      <c r="C2" s="156" t="s">
        <v>96</v>
      </c>
      <c r="D2" s="156"/>
      <c r="E2" s="156"/>
      <c r="F2" s="156"/>
      <c r="G2" s="156"/>
      <c r="H2" s="156"/>
      <c r="I2" s="156"/>
      <c r="J2" s="156"/>
      <c r="K2" s="156"/>
      <c r="L2" s="156"/>
      <c r="M2" s="156" t="s">
        <v>97</v>
      </c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 t="s">
        <v>98</v>
      </c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 t="s">
        <v>99</v>
      </c>
      <c r="AJ2" s="156"/>
      <c r="AK2" s="156"/>
      <c r="AL2" s="156"/>
      <c r="AM2" s="156"/>
      <c r="AN2" s="156"/>
      <c r="AO2" s="156"/>
      <c r="AP2" s="156"/>
      <c r="AQ2" s="156"/>
      <c r="AR2" s="156"/>
      <c r="AS2" s="156"/>
    </row>
    <row r="3" spans="1:45" ht="29.4" x14ac:dyDescent="0.35">
      <c r="A3" s="14" t="s">
        <v>95</v>
      </c>
      <c r="B3" s="7" t="s">
        <v>57</v>
      </c>
      <c r="C3" s="9" t="s">
        <v>83</v>
      </c>
      <c r="D3" s="28">
        <v>2020</v>
      </c>
      <c r="E3" s="28">
        <v>2021</v>
      </c>
      <c r="F3" s="28">
        <v>2022</v>
      </c>
      <c r="G3" s="28">
        <v>2023</v>
      </c>
      <c r="H3" s="28">
        <v>2024</v>
      </c>
      <c r="I3" s="28">
        <v>2025</v>
      </c>
      <c r="J3" s="27">
        <v>2026</v>
      </c>
      <c r="K3" s="27">
        <v>2027</v>
      </c>
      <c r="L3" s="27">
        <v>2028</v>
      </c>
      <c r="M3" s="7" t="s">
        <v>57</v>
      </c>
      <c r="N3" s="9" t="s">
        <v>83</v>
      </c>
      <c r="O3" s="28">
        <v>2020</v>
      </c>
      <c r="P3" s="28">
        <v>2021</v>
      </c>
      <c r="Q3" s="28">
        <v>2022</v>
      </c>
      <c r="R3" s="28">
        <v>2023</v>
      </c>
      <c r="S3" s="28">
        <v>2024</v>
      </c>
      <c r="T3" s="28">
        <v>2025</v>
      </c>
      <c r="U3" s="27">
        <v>2026</v>
      </c>
      <c r="V3" s="27">
        <v>2027</v>
      </c>
      <c r="W3" s="27">
        <v>2028</v>
      </c>
      <c r="X3" s="7" t="s">
        <v>57</v>
      </c>
      <c r="Y3" s="9" t="s">
        <v>83</v>
      </c>
      <c r="Z3" s="28">
        <v>2020</v>
      </c>
      <c r="AA3" s="28">
        <v>2021</v>
      </c>
      <c r="AB3" s="28">
        <v>2022</v>
      </c>
      <c r="AC3" s="28">
        <v>2023</v>
      </c>
      <c r="AD3" s="28">
        <v>2024</v>
      </c>
      <c r="AE3" s="28">
        <v>2025</v>
      </c>
      <c r="AF3" s="27">
        <v>2026</v>
      </c>
      <c r="AG3" s="27">
        <v>2027</v>
      </c>
      <c r="AH3" s="27">
        <v>2028</v>
      </c>
      <c r="AI3" s="7" t="s">
        <v>57</v>
      </c>
      <c r="AJ3" s="9" t="s">
        <v>83</v>
      </c>
      <c r="AK3" s="28">
        <v>2020</v>
      </c>
      <c r="AL3" s="28">
        <v>2021</v>
      </c>
      <c r="AM3" s="28">
        <v>2022</v>
      </c>
      <c r="AN3" s="28">
        <v>2023</v>
      </c>
      <c r="AO3" s="28">
        <v>2024</v>
      </c>
      <c r="AP3" s="28">
        <v>2025</v>
      </c>
      <c r="AQ3" s="27">
        <v>2026</v>
      </c>
      <c r="AR3" s="27">
        <v>2027</v>
      </c>
      <c r="AS3" s="27">
        <v>2028</v>
      </c>
    </row>
    <row r="4" spans="1:45" ht="14.25" customHeight="1" x14ac:dyDescent="0.3">
      <c r="A4">
        <v>0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</v>
      </c>
      <c r="N4">
        <v>2</v>
      </c>
      <c r="O4">
        <v>3</v>
      </c>
      <c r="P4">
        <v>4</v>
      </c>
      <c r="Q4">
        <v>5</v>
      </c>
      <c r="R4">
        <v>6</v>
      </c>
      <c r="S4">
        <v>7</v>
      </c>
      <c r="T4">
        <v>8</v>
      </c>
      <c r="U4">
        <v>9</v>
      </c>
      <c r="V4">
        <v>10</v>
      </c>
      <c r="W4">
        <v>11</v>
      </c>
      <c r="X4">
        <v>1</v>
      </c>
      <c r="Y4">
        <v>2</v>
      </c>
      <c r="Z4">
        <v>3</v>
      </c>
      <c r="AA4">
        <v>4</v>
      </c>
      <c r="AB4">
        <v>5</v>
      </c>
      <c r="AC4">
        <v>6</v>
      </c>
      <c r="AD4">
        <v>7</v>
      </c>
      <c r="AE4">
        <v>8</v>
      </c>
      <c r="AF4">
        <v>9</v>
      </c>
      <c r="AG4">
        <v>10</v>
      </c>
      <c r="AH4">
        <v>11</v>
      </c>
      <c r="AI4">
        <v>1</v>
      </c>
      <c r="AJ4">
        <v>2</v>
      </c>
      <c r="AK4">
        <v>3</v>
      </c>
      <c r="AL4">
        <v>4</v>
      </c>
      <c r="AM4">
        <v>5</v>
      </c>
      <c r="AN4">
        <v>6</v>
      </c>
      <c r="AO4">
        <v>7</v>
      </c>
      <c r="AP4">
        <v>8</v>
      </c>
      <c r="AQ4">
        <v>9</v>
      </c>
      <c r="AR4">
        <v>10</v>
      </c>
      <c r="AS4">
        <v>11</v>
      </c>
    </row>
    <row r="5" spans="1:45" x14ac:dyDescent="0.3">
      <c r="A5" t="s">
        <v>84</v>
      </c>
      <c r="B5" s="2" t="s">
        <v>23</v>
      </c>
      <c r="C5">
        <v>19</v>
      </c>
      <c r="D5">
        <v>19</v>
      </c>
      <c r="E5">
        <v>19</v>
      </c>
      <c r="F5">
        <v>19</v>
      </c>
      <c r="G5">
        <v>19</v>
      </c>
      <c r="H5">
        <v>18.2</v>
      </c>
      <c r="I5">
        <v>17.2</v>
      </c>
      <c r="J5">
        <f>I5</f>
        <v>17.2</v>
      </c>
      <c r="K5">
        <f t="shared" ref="K5:L5" si="4">J5</f>
        <v>17.2</v>
      </c>
      <c r="L5">
        <f t="shared" si="4"/>
        <v>17.2</v>
      </c>
      <c r="M5" t="str">
        <f>B5</f>
        <v>Airbus Billettes</v>
      </c>
      <c r="N5">
        <v>0</v>
      </c>
      <c r="O5">
        <f>N5</f>
        <v>0</v>
      </c>
      <c r="P5">
        <f t="shared" ref="P5:W5" si="5">O5</f>
        <v>0</v>
      </c>
      <c r="Q5">
        <f t="shared" si="5"/>
        <v>0</v>
      </c>
      <c r="R5">
        <f t="shared" si="5"/>
        <v>0</v>
      </c>
      <c r="S5">
        <f t="shared" si="5"/>
        <v>0</v>
      </c>
      <c r="T5">
        <f t="shared" si="5"/>
        <v>0</v>
      </c>
      <c r="U5">
        <f t="shared" si="5"/>
        <v>0</v>
      </c>
      <c r="V5">
        <f t="shared" si="5"/>
        <v>0</v>
      </c>
      <c r="W5">
        <f t="shared" si="5"/>
        <v>0</v>
      </c>
      <c r="X5" t="str">
        <f>M5</f>
        <v>Airbus Billettes</v>
      </c>
      <c r="Z5">
        <v>31.1</v>
      </c>
      <c r="AA5">
        <f t="shared" ref="AA5:AA12" si="6">Z5</f>
        <v>31.1</v>
      </c>
      <c r="AB5">
        <f t="shared" ref="AB5:AH5" si="7">AA5</f>
        <v>31.1</v>
      </c>
      <c r="AC5">
        <f t="shared" si="7"/>
        <v>31.1</v>
      </c>
      <c r="AD5">
        <f>AC5-0.8</f>
        <v>30.3</v>
      </c>
      <c r="AE5">
        <v>29.6</v>
      </c>
      <c r="AF5">
        <f t="shared" si="7"/>
        <v>29.6</v>
      </c>
      <c r="AG5">
        <f t="shared" si="7"/>
        <v>29.6</v>
      </c>
      <c r="AH5">
        <f t="shared" si="7"/>
        <v>29.6</v>
      </c>
      <c r="AI5" t="str">
        <f>X5</f>
        <v>Airbus Billettes</v>
      </c>
      <c r="AK5">
        <v>0</v>
      </c>
      <c r="AL5">
        <f>AK5</f>
        <v>0</v>
      </c>
      <c r="AM5">
        <f t="shared" ref="AM5:AS5" si="8">AL5</f>
        <v>0</v>
      </c>
      <c r="AN5">
        <f t="shared" si="8"/>
        <v>0</v>
      </c>
      <c r="AO5">
        <f t="shared" si="8"/>
        <v>0</v>
      </c>
      <c r="AP5">
        <f t="shared" si="8"/>
        <v>0</v>
      </c>
      <c r="AQ5">
        <f t="shared" si="8"/>
        <v>0</v>
      </c>
      <c r="AR5">
        <f t="shared" si="8"/>
        <v>0</v>
      </c>
      <c r="AS5">
        <f t="shared" si="8"/>
        <v>0</v>
      </c>
    </row>
    <row r="6" spans="1:45" x14ac:dyDescent="0.3">
      <c r="A6" t="s">
        <v>84</v>
      </c>
      <c r="B6" s="2" t="s">
        <v>54</v>
      </c>
      <c r="C6">
        <v>19</v>
      </c>
      <c r="D6">
        <v>19</v>
      </c>
      <c r="E6">
        <v>19</v>
      </c>
      <c r="F6">
        <v>19</v>
      </c>
      <c r="G6">
        <v>19</v>
      </c>
      <c r="H6">
        <v>18.2</v>
      </c>
      <c r="I6">
        <v>17.2</v>
      </c>
      <c r="J6">
        <f t="shared" ref="J6:L6" si="9">I6</f>
        <v>17.2</v>
      </c>
      <c r="K6">
        <f t="shared" si="9"/>
        <v>17.2</v>
      </c>
      <c r="L6">
        <f t="shared" si="9"/>
        <v>17.2</v>
      </c>
      <c r="M6" t="str">
        <f t="shared" ref="M6:M50" si="10">B6</f>
        <v>Airbus Plats Pamiers</v>
      </c>
      <c r="N6">
        <v>0</v>
      </c>
      <c r="O6">
        <f t="shared" ref="O6:W8" si="11">N6</f>
        <v>0</v>
      </c>
      <c r="P6">
        <f t="shared" si="11"/>
        <v>0</v>
      </c>
      <c r="Q6">
        <f t="shared" si="11"/>
        <v>0</v>
      </c>
      <c r="R6">
        <f t="shared" si="11"/>
        <v>0</v>
      </c>
      <c r="S6">
        <f t="shared" si="11"/>
        <v>0</v>
      </c>
      <c r="T6">
        <f t="shared" si="11"/>
        <v>0</v>
      </c>
      <c r="U6">
        <f t="shared" si="11"/>
        <v>0</v>
      </c>
      <c r="V6">
        <f t="shared" si="11"/>
        <v>0</v>
      </c>
      <c r="W6">
        <f t="shared" si="11"/>
        <v>0</v>
      </c>
      <c r="X6" t="str">
        <f t="shared" ref="X6:X50" si="12">M6</f>
        <v>Airbus Plats Pamiers</v>
      </c>
      <c r="Z6" s="3">
        <v>30</v>
      </c>
      <c r="AA6">
        <f t="shared" si="6"/>
        <v>30</v>
      </c>
      <c r="AB6">
        <f t="shared" ref="AB6:AH6" si="13">AA6</f>
        <v>30</v>
      </c>
      <c r="AC6">
        <f t="shared" si="13"/>
        <v>30</v>
      </c>
      <c r="AD6">
        <f>AC6-0.8</f>
        <v>29.2</v>
      </c>
      <c r="AE6">
        <f>AD6-0.7</f>
        <v>28.5</v>
      </c>
      <c r="AF6">
        <f t="shared" si="13"/>
        <v>28.5</v>
      </c>
      <c r="AG6">
        <f t="shared" si="13"/>
        <v>28.5</v>
      </c>
      <c r="AH6">
        <f t="shared" si="13"/>
        <v>28.5</v>
      </c>
      <c r="AI6" t="str">
        <f t="shared" ref="AI6:AI50" si="14">X6</f>
        <v>Airbus Plats Pamiers</v>
      </c>
      <c r="AK6">
        <v>0</v>
      </c>
      <c r="AL6">
        <f t="shared" ref="AL6:AS24" si="15">AK6</f>
        <v>0</v>
      </c>
      <c r="AM6">
        <f t="shared" si="15"/>
        <v>0</v>
      </c>
      <c r="AN6">
        <f t="shared" si="15"/>
        <v>0</v>
      </c>
      <c r="AO6">
        <f t="shared" si="15"/>
        <v>0</v>
      </c>
      <c r="AP6">
        <f t="shared" si="15"/>
        <v>0</v>
      </c>
      <c r="AQ6">
        <f t="shared" si="15"/>
        <v>0</v>
      </c>
      <c r="AR6">
        <f t="shared" si="15"/>
        <v>0</v>
      </c>
      <c r="AS6">
        <f t="shared" si="15"/>
        <v>0</v>
      </c>
    </row>
    <row r="7" spans="1:45" x14ac:dyDescent="0.3">
      <c r="A7" t="s">
        <v>84</v>
      </c>
      <c r="B7" s="2" t="s">
        <v>55</v>
      </c>
      <c r="C7">
        <v>19</v>
      </c>
      <c r="D7">
        <v>19</v>
      </c>
      <c r="E7">
        <v>19</v>
      </c>
      <c r="F7">
        <v>19</v>
      </c>
      <c r="G7">
        <v>19</v>
      </c>
      <c r="H7">
        <v>18.2</v>
      </c>
      <c r="I7">
        <v>17.2</v>
      </c>
      <c r="J7">
        <f t="shared" ref="J7:L7" si="16">I7</f>
        <v>17.2</v>
      </c>
      <c r="K7">
        <f t="shared" si="16"/>
        <v>17.2</v>
      </c>
      <c r="L7">
        <f t="shared" si="16"/>
        <v>17.2</v>
      </c>
      <c r="M7" t="str">
        <f t="shared" si="10"/>
        <v>Airbus Plats WG</v>
      </c>
      <c r="N7">
        <v>0</v>
      </c>
      <c r="O7">
        <f t="shared" si="11"/>
        <v>0</v>
      </c>
      <c r="P7">
        <f t="shared" si="11"/>
        <v>0</v>
      </c>
      <c r="Q7">
        <f t="shared" si="11"/>
        <v>0</v>
      </c>
      <c r="R7">
        <f t="shared" si="11"/>
        <v>0</v>
      </c>
      <c r="S7">
        <f t="shared" si="11"/>
        <v>0</v>
      </c>
      <c r="T7">
        <f t="shared" si="11"/>
        <v>0</v>
      </c>
      <c r="U7">
        <f t="shared" si="11"/>
        <v>0</v>
      </c>
      <c r="V7">
        <f t="shared" si="11"/>
        <v>0</v>
      </c>
      <c r="W7">
        <f t="shared" si="11"/>
        <v>0</v>
      </c>
      <c r="X7" t="str">
        <f t="shared" si="12"/>
        <v>Airbus Plats WG</v>
      </c>
      <c r="Z7" s="3">
        <v>34.35</v>
      </c>
      <c r="AA7">
        <f t="shared" si="6"/>
        <v>34.35</v>
      </c>
      <c r="AB7">
        <f t="shared" ref="AB7:AH7" si="17">AA7</f>
        <v>34.35</v>
      </c>
      <c r="AC7">
        <f t="shared" si="17"/>
        <v>34.35</v>
      </c>
      <c r="AD7">
        <f>AC7-0.8</f>
        <v>33.550000000000004</v>
      </c>
      <c r="AE7">
        <f>AD7-0.7</f>
        <v>32.85</v>
      </c>
      <c r="AF7">
        <f t="shared" si="17"/>
        <v>32.85</v>
      </c>
      <c r="AG7">
        <f t="shared" si="17"/>
        <v>32.85</v>
      </c>
      <c r="AH7">
        <f t="shared" si="17"/>
        <v>32.85</v>
      </c>
      <c r="AI7" t="str">
        <f t="shared" si="14"/>
        <v>Airbus Plats WG</v>
      </c>
      <c r="AK7">
        <v>0</v>
      </c>
      <c r="AL7">
        <f t="shared" si="15"/>
        <v>0</v>
      </c>
      <c r="AM7">
        <f t="shared" si="15"/>
        <v>0</v>
      </c>
      <c r="AN7">
        <f t="shared" si="15"/>
        <v>0</v>
      </c>
      <c r="AO7">
        <f t="shared" si="15"/>
        <v>0</v>
      </c>
      <c r="AP7">
        <f t="shared" si="15"/>
        <v>0</v>
      </c>
      <c r="AQ7">
        <f t="shared" si="15"/>
        <v>0</v>
      </c>
      <c r="AR7">
        <f t="shared" si="15"/>
        <v>0</v>
      </c>
      <c r="AS7">
        <f t="shared" si="15"/>
        <v>0</v>
      </c>
    </row>
    <row r="8" spans="1:45" x14ac:dyDescent="0.3">
      <c r="A8" t="s">
        <v>84</v>
      </c>
      <c r="B8" s="2" t="s">
        <v>29</v>
      </c>
      <c r="C8">
        <v>19</v>
      </c>
      <c r="D8">
        <v>19</v>
      </c>
      <c r="E8">
        <v>19</v>
      </c>
      <c r="F8">
        <v>19</v>
      </c>
      <c r="G8">
        <v>19</v>
      </c>
      <c r="H8">
        <v>18.2</v>
      </c>
      <c r="I8">
        <v>17.2</v>
      </c>
      <c r="J8">
        <f t="shared" ref="J8:L8" si="18">I8</f>
        <v>17.2</v>
      </c>
      <c r="K8">
        <f t="shared" si="18"/>
        <v>17.2</v>
      </c>
      <c r="L8">
        <f t="shared" si="18"/>
        <v>17.2</v>
      </c>
      <c r="M8" t="str">
        <f t="shared" si="10"/>
        <v>Optimisations / protections Airbus</v>
      </c>
      <c r="N8">
        <v>0</v>
      </c>
      <c r="O8">
        <f t="shared" si="11"/>
        <v>0</v>
      </c>
      <c r="P8">
        <f t="shared" si="11"/>
        <v>0</v>
      </c>
      <c r="Q8">
        <f t="shared" si="11"/>
        <v>0</v>
      </c>
      <c r="R8">
        <f t="shared" si="11"/>
        <v>0</v>
      </c>
      <c r="S8">
        <f t="shared" si="11"/>
        <v>0</v>
      </c>
      <c r="T8">
        <f t="shared" si="11"/>
        <v>0</v>
      </c>
      <c r="U8">
        <f t="shared" si="11"/>
        <v>0</v>
      </c>
      <c r="V8">
        <f t="shared" si="11"/>
        <v>0</v>
      </c>
      <c r="W8">
        <f t="shared" si="11"/>
        <v>0</v>
      </c>
      <c r="X8" t="str">
        <f t="shared" si="12"/>
        <v>Optimisations / protections Airbus</v>
      </c>
      <c r="Z8">
        <f>31.1</f>
        <v>31.1</v>
      </c>
      <c r="AA8">
        <f t="shared" si="6"/>
        <v>31.1</v>
      </c>
      <c r="AB8">
        <f t="shared" ref="AB8:AH16" si="19">AA8</f>
        <v>31.1</v>
      </c>
      <c r="AC8">
        <f t="shared" si="19"/>
        <v>31.1</v>
      </c>
      <c r="AD8">
        <f>AD5</f>
        <v>30.3</v>
      </c>
      <c r="AE8">
        <f>AE5</f>
        <v>29.6</v>
      </c>
      <c r="AF8">
        <f t="shared" si="19"/>
        <v>29.6</v>
      </c>
      <c r="AG8">
        <f t="shared" si="19"/>
        <v>29.6</v>
      </c>
      <c r="AH8">
        <f t="shared" si="19"/>
        <v>29.6</v>
      </c>
      <c r="AI8" t="str">
        <f t="shared" si="14"/>
        <v>Optimisations / protections Airbus</v>
      </c>
      <c r="AK8">
        <v>0</v>
      </c>
      <c r="AL8">
        <f t="shared" si="15"/>
        <v>0</v>
      </c>
      <c r="AM8">
        <f t="shared" si="15"/>
        <v>0</v>
      </c>
      <c r="AN8">
        <f t="shared" si="15"/>
        <v>0</v>
      </c>
      <c r="AO8">
        <f t="shared" si="15"/>
        <v>0</v>
      </c>
      <c r="AP8">
        <f t="shared" si="15"/>
        <v>0</v>
      </c>
      <c r="AQ8">
        <f t="shared" si="15"/>
        <v>0</v>
      </c>
      <c r="AR8">
        <f t="shared" si="15"/>
        <v>0</v>
      </c>
      <c r="AS8">
        <f t="shared" si="15"/>
        <v>0</v>
      </c>
    </row>
    <row r="9" spans="1:45" x14ac:dyDescent="0.3">
      <c r="A9" t="s">
        <v>87</v>
      </c>
      <c r="B9" s="8" t="s">
        <v>94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t="str">
        <f t="shared" si="10"/>
        <v>Airbus  Billettes EcoTitanium</v>
      </c>
      <c r="N9">
        <v>17.2</v>
      </c>
      <c r="O9">
        <v>16.25</v>
      </c>
      <c r="P9" s="29">
        <v>16.25</v>
      </c>
      <c r="Q9" s="29">
        <f>P9</f>
        <v>16.25</v>
      </c>
      <c r="R9" s="29">
        <f t="shared" ref="R9:W10" si="20">Q9</f>
        <v>16.25</v>
      </c>
      <c r="S9" s="29">
        <f t="shared" si="20"/>
        <v>16.25</v>
      </c>
      <c r="T9" s="29">
        <f t="shared" si="20"/>
        <v>16.25</v>
      </c>
      <c r="U9" s="29">
        <f t="shared" si="20"/>
        <v>16.25</v>
      </c>
      <c r="V9" s="29">
        <f t="shared" si="20"/>
        <v>16.25</v>
      </c>
      <c r="W9">
        <f t="shared" si="20"/>
        <v>16.25</v>
      </c>
      <c r="X9" t="str">
        <f t="shared" si="12"/>
        <v>Airbus  Billettes EcoTitanium</v>
      </c>
      <c r="Z9">
        <v>0</v>
      </c>
      <c r="AA9">
        <f t="shared" si="6"/>
        <v>0</v>
      </c>
      <c r="AB9">
        <f t="shared" si="19"/>
        <v>0</v>
      </c>
      <c r="AC9">
        <f t="shared" si="19"/>
        <v>0</v>
      </c>
      <c r="AD9">
        <f t="shared" si="19"/>
        <v>0</v>
      </c>
      <c r="AE9">
        <f t="shared" si="19"/>
        <v>0</v>
      </c>
      <c r="AF9">
        <f t="shared" si="19"/>
        <v>0</v>
      </c>
      <c r="AG9">
        <f t="shared" si="19"/>
        <v>0</v>
      </c>
      <c r="AH9">
        <f t="shared" si="19"/>
        <v>0</v>
      </c>
      <c r="AI9" t="str">
        <f t="shared" si="14"/>
        <v>Airbus  Billettes EcoTitanium</v>
      </c>
      <c r="AK9">
        <v>27.85</v>
      </c>
      <c r="AL9">
        <v>27.85</v>
      </c>
      <c r="AM9">
        <f t="shared" ref="AM9:AM24" si="21">AL9</f>
        <v>27.85</v>
      </c>
      <c r="AN9">
        <f t="shared" si="15"/>
        <v>27.85</v>
      </c>
      <c r="AO9">
        <f t="shared" si="15"/>
        <v>27.85</v>
      </c>
      <c r="AP9">
        <f t="shared" si="15"/>
        <v>27.85</v>
      </c>
      <c r="AQ9">
        <f t="shared" si="15"/>
        <v>27.85</v>
      </c>
      <c r="AR9">
        <f t="shared" si="15"/>
        <v>27.85</v>
      </c>
      <c r="AS9">
        <f t="shared" si="15"/>
        <v>27.85</v>
      </c>
    </row>
    <row r="10" spans="1:45" x14ac:dyDescent="0.3">
      <c r="A10" t="s">
        <v>87</v>
      </c>
      <c r="B10" s="8" t="s">
        <v>31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 t="str">
        <f t="shared" si="10"/>
        <v>DF Spirit lingot EcoTi (70/30)</v>
      </c>
      <c r="O10" s="29">
        <v>15.6</v>
      </c>
      <c r="P10" s="29">
        <f>O10</f>
        <v>15.6</v>
      </c>
      <c r="Q10" s="29">
        <f>P10</f>
        <v>15.6</v>
      </c>
      <c r="R10" s="29">
        <f t="shared" si="20"/>
        <v>15.6</v>
      </c>
      <c r="S10" s="29">
        <f t="shared" si="20"/>
        <v>15.6</v>
      </c>
      <c r="T10" s="29">
        <f t="shared" si="20"/>
        <v>15.6</v>
      </c>
      <c r="U10" s="29">
        <f t="shared" si="20"/>
        <v>15.6</v>
      </c>
      <c r="V10" s="29">
        <f t="shared" si="20"/>
        <v>15.6</v>
      </c>
      <c r="W10">
        <f t="shared" si="20"/>
        <v>15.6</v>
      </c>
      <c r="X10" t="str">
        <f t="shared" si="12"/>
        <v>DF Spirit lingot EcoTi (70/30)</v>
      </c>
      <c r="Z10">
        <v>0</v>
      </c>
      <c r="AA10">
        <f t="shared" si="6"/>
        <v>0</v>
      </c>
      <c r="AB10">
        <f t="shared" si="19"/>
        <v>0</v>
      </c>
      <c r="AC10">
        <f t="shared" si="19"/>
        <v>0</v>
      </c>
      <c r="AD10">
        <f t="shared" si="19"/>
        <v>0</v>
      </c>
      <c r="AE10">
        <f t="shared" si="19"/>
        <v>0</v>
      </c>
      <c r="AF10">
        <f t="shared" si="19"/>
        <v>0</v>
      </c>
      <c r="AG10">
        <f t="shared" si="19"/>
        <v>0</v>
      </c>
      <c r="AH10">
        <f t="shared" si="19"/>
        <v>0</v>
      </c>
      <c r="AI10" t="str">
        <f t="shared" si="14"/>
        <v>DF Spirit lingot EcoTi (70/30)</v>
      </c>
      <c r="AK10">
        <v>28.28</v>
      </c>
      <c r="AL10">
        <f t="shared" ref="AL10:AL26" si="22">AK10</f>
        <v>28.28</v>
      </c>
      <c r="AM10">
        <f t="shared" si="21"/>
        <v>28.28</v>
      </c>
      <c r="AN10">
        <f t="shared" si="15"/>
        <v>28.28</v>
      </c>
      <c r="AO10">
        <f t="shared" si="15"/>
        <v>28.28</v>
      </c>
      <c r="AP10">
        <f t="shared" si="15"/>
        <v>28.28</v>
      </c>
      <c r="AQ10">
        <f t="shared" si="15"/>
        <v>28.28</v>
      </c>
      <c r="AR10">
        <f t="shared" si="15"/>
        <v>28.28</v>
      </c>
      <c r="AS10">
        <f t="shared" si="15"/>
        <v>28.28</v>
      </c>
    </row>
    <row r="11" spans="1:45" x14ac:dyDescent="0.3">
      <c r="A11" t="s">
        <v>84</v>
      </c>
      <c r="B11" s="8" t="s">
        <v>30</v>
      </c>
      <c r="C11">
        <v>19</v>
      </c>
      <c r="D11">
        <v>19</v>
      </c>
      <c r="E11">
        <v>19</v>
      </c>
      <c r="F11">
        <v>19</v>
      </c>
      <c r="G11">
        <v>19</v>
      </c>
      <c r="H11">
        <v>18.2</v>
      </c>
      <c r="I11">
        <v>17.2</v>
      </c>
      <c r="J11">
        <f t="shared" ref="J11:L11" si="23">I11</f>
        <v>17.2</v>
      </c>
      <c r="K11">
        <f t="shared" si="23"/>
        <v>17.2</v>
      </c>
      <c r="L11">
        <f t="shared" si="23"/>
        <v>17.2</v>
      </c>
      <c r="M11" t="str">
        <f t="shared" si="10"/>
        <v>DF Spirit lingot UKTMP (30/70)</v>
      </c>
      <c r="N11">
        <v>0</v>
      </c>
      <c r="O11">
        <f t="shared" ref="O11:W15" si="24">N11</f>
        <v>0</v>
      </c>
      <c r="P11">
        <f t="shared" si="24"/>
        <v>0</v>
      </c>
      <c r="Q11">
        <f t="shared" si="24"/>
        <v>0</v>
      </c>
      <c r="R11">
        <f t="shared" si="24"/>
        <v>0</v>
      </c>
      <c r="S11">
        <f t="shared" si="24"/>
        <v>0</v>
      </c>
      <c r="T11">
        <f t="shared" si="24"/>
        <v>0</v>
      </c>
      <c r="U11">
        <f t="shared" si="24"/>
        <v>0</v>
      </c>
      <c r="V11">
        <f t="shared" si="24"/>
        <v>0</v>
      </c>
      <c r="W11">
        <f t="shared" si="24"/>
        <v>0</v>
      </c>
      <c r="X11" t="str">
        <f t="shared" si="12"/>
        <v>DF Spirit lingot UKTMP (30/70)</v>
      </c>
      <c r="Z11">
        <v>32</v>
      </c>
      <c r="AA11">
        <f t="shared" si="6"/>
        <v>32</v>
      </c>
      <c r="AB11">
        <f t="shared" si="19"/>
        <v>32</v>
      </c>
      <c r="AC11">
        <f t="shared" si="19"/>
        <v>32</v>
      </c>
      <c r="AD11">
        <v>31.8</v>
      </c>
      <c r="AE11">
        <f>AD11-0.7</f>
        <v>31.1</v>
      </c>
      <c r="AF11">
        <f t="shared" si="19"/>
        <v>31.1</v>
      </c>
      <c r="AG11">
        <f t="shared" si="19"/>
        <v>31.1</v>
      </c>
      <c r="AH11">
        <f t="shared" si="19"/>
        <v>31.1</v>
      </c>
      <c r="AI11" t="str">
        <f t="shared" si="14"/>
        <v>DF Spirit lingot UKTMP (30/70)</v>
      </c>
      <c r="AK11">
        <v>0</v>
      </c>
      <c r="AL11">
        <f t="shared" si="22"/>
        <v>0</v>
      </c>
      <c r="AM11">
        <f t="shared" si="21"/>
        <v>0</v>
      </c>
      <c r="AN11">
        <f t="shared" si="15"/>
        <v>0</v>
      </c>
      <c r="AO11">
        <f t="shared" si="15"/>
        <v>0</v>
      </c>
      <c r="AP11">
        <f t="shared" si="15"/>
        <v>0</v>
      </c>
      <c r="AQ11">
        <f t="shared" si="15"/>
        <v>0</v>
      </c>
      <c r="AR11">
        <f t="shared" si="15"/>
        <v>0</v>
      </c>
      <c r="AS11">
        <f t="shared" si="15"/>
        <v>0</v>
      </c>
    </row>
    <row r="12" spans="1:45" x14ac:dyDescent="0.3">
      <c r="A12" t="s">
        <v>84</v>
      </c>
      <c r="B12" s="2" t="s">
        <v>28</v>
      </c>
      <c r="C12">
        <v>19</v>
      </c>
      <c r="D12">
        <v>19</v>
      </c>
      <c r="E12">
        <v>17.2</v>
      </c>
      <c r="F12">
        <v>17.2</v>
      </c>
      <c r="G12">
        <v>17.2</v>
      </c>
      <c r="H12">
        <v>17.2</v>
      </c>
      <c r="I12">
        <v>17.2</v>
      </c>
      <c r="J12">
        <f t="shared" ref="J12:L12" si="25">I12</f>
        <v>17.2</v>
      </c>
      <c r="K12">
        <f t="shared" si="25"/>
        <v>17.2</v>
      </c>
      <c r="L12">
        <f t="shared" si="25"/>
        <v>17.2</v>
      </c>
      <c r="M12" t="str">
        <f t="shared" si="10"/>
        <v>Airbus Extrusion</v>
      </c>
      <c r="N12">
        <v>0</v>
      </c>
      <c r="O12">
        <f t="shared" si="24"/>
        <v>0</v>
      </c>
      <c r="P12">
        <f t="shared" si="24"/>
        <v>0</v>
      </c>
      <c r="Q12">
        <f t="shared" si="24"/>
        <v>0</v>
      </c>
      <c r="R12">
        <f t="shared" si="24"/>
        <v>0</v>
      </c>
      <c r="S12">
        <f t="shared" si="24"/>
        <v>0</v>
      </c>
      <c r="T12">
        <f t="shared" si="24"/>
        <v>0</v>
      </c>
      <c r="U12">
        <f t="shared" si="24"/>
        <v>0</v>
      </c>
      <c r="V12">
        <f t="shared" si="24"/>
        <v>0</v>
      </c>
      <c r="W12">
        <f t="shared" si="24"/>
        <v>0</v>
      </c>
      <c r="X12" t="str">
        <f t="shared" si="12"/>
        <v>Airbus Extrusion</v>
      </c>
      <c r="Z12">
        <v>31</v>
      </c>
      <c r="AA12">
        <f t="shared" si="6"/>
        <v>31</v>
      </c>
      <c r="AB12">
        <f t="shared" si="19"/>
        <v>31</v>
      </c>
      <c r="AC12">
        <f t="shared" si="19"/>
        <v>31</v>
      </c>
      <c r="AD12">
        <v>30.2</v>
      </c>
      <c r="AE12">
        <f>AD12-0.7</f>
        <v>29.5</v>
      </c>
      <c r="AF12">
        <f t="shared" si="19"/>
        <v>29.5</v>
      </c>
      <c r="AG12">
        <f t="shared" si="19"/>
        <v>29.5</v>
      </c>
      <c r="AH12">
        <f t="shared" si="19"/>
        <v>29.5</v>
      </c>
      <c r="AI12" t="str">
        <f t="shared" si="14"/>
        <v>Airbus Extrusion</v>
      </c>
      <c r="AK12">
        <v>28.5</v>
      </c>
      <c r="AL12">
        <f t="shared" si="22"/>
        <v>28.5</v>
      </c>
      <c r="AM12">
        <f t="shared" si="21"/>
        <v>28.5</v>
      </c>
      <c r="AN12">
        <f t="shared" si="15"/>
        <v>28.5</v>
      </c>
      <c r="AO12">
        <f t="shared" si="15"/>
        <v>28.5</v>
      </c>
      <c r="AP12">
        <f t="shared" si="15"/>
        <v>28.5</v>
      </c>
      <c r="AQ12">
        <f t="shared" si="15"/>
        <v>28.5</v>
      </c>
      <c r="AR12">
        <f t="shared" si="15"/>
        <v>28.5</v>
      </c>
      <c r="AS12">
        <f t="shared" si="15"/>
        <v>28.5</v>
      </c>
    </row>
    <row r="13" spans="1:45" ht="28.8" x14ac:dyDescent="0.3">
      <c r="A13" t="s">
        <v>87</v>
      </c>
      <c r="B13" s="32" t="s">
        <v>106</v>
      </c>
      <c r="C13">
        <v>19</v>
      </c>
      <c r="D13">
        <v>19</v>
      </c>
      <c r="E13">
        <v>17.2</v>
      </c>
      <c r="F13">
        <v>17.2</v>
      </c>
      <c r="G13">
        <v>17.2</v>
      </c>
      <c r="H13">
        <v>17.2</v>
      </c>
      <c r="I13">
        <v>17.2</v>
      </c>
      <c r="J13">
        <f t="shared" ref="J13:L13" si="26">I13</f>
        <v>17.2</v>
      </c>
      <c r="K13">
        <f t="shared" si="26"/>
        <v>17.2</v>
      </c>
      <c r="L13">
        <f t="shared" si="26"/>
        <v>17.2</v>
      </c>
      <c r="M13" t="str">
        <f t="shared" si="10"/>
        <v>Airbus EcoTitanium Pamiers ( Equilibrage Airbus Billette)</v>
      </c>
      <c r="N13">
        <v>0</v>
      </c>
      <c r="O13">
        <f t="shared" si="24"/>
        <v>0</v>
      </c>
      <c r="P13">
        <v>16</v>
      </c>
      <c r="Q13">
        <f t="shared" si="24"/>
        <v>16</v>
      </c>
      <c r="R13">
        <f t="shared" si="24"/>
        <v>16</v>
      </c>
      <c r="S13">
        <f t="shared" si="24"/>
        <v>16</v>
      </c>
      <c r="T13">
        <f t="shared" si="24"/>
        <v>16</v>
      </c>
      <c r="U13">
        <f t="shared" si="24"/>
        <v>16</v>
      </c>
      <c r="V13">
        <f t="shared" si="24"/>
        <v>16</v>
      </c>
      <c r="W13">
        <f t="shared" si="24"/>
        <v>16</v>
      </c>
      <c r="X13" t="str">
        <f t="shared" si="12"/>
        <v>Airbus EcoTitanium Pamiers ( Equilibrage Airbus Billette)</v>
      </c>
      <c r="Z13">
        <v>0</v>
      </c>
      <c r="AA13">
        <f>Z13</f>
        <v>0</v>
      </c>
      <c r="AB13">
        <f t="shared" si="19"/>
        <v>0</v>
      </c>
      <c r="AC13">
        <f t="shared" si="19"/>
        <v>0</v>
      </c>
      <c r="AD13">
        <f t="shared" si="19"/>
        <v>0</v>
      </c>
      <c r="AE13">
        <f t="shared" si="19"/>
        <v>0</v>
      </c>
      <c r="AF13">
        <f t="shared" si="19"/>
        <v>0</v>
      </c>
      <c r="AG13">
        <f t="shared" si="19"/>
        <v>0</v>
      </c>
      <c r="AH13">
        <f t="shared" si="19"/>
        <v>0</v>
      </c>
      <c r="AI13" t="str">
        <f t="shared" si="14"/>
        <v>Airbus EcoTitanium Pamiers ( Equilibrage Airbus Billette)</v>
      </c>
      <c r="AK13">
        <v>27.85</v>
      </c>
      <c r="AL13">
        <f t="shared" si="22"/>
        <v>27.85</v>
      </c>
      <c r="AM13">
        <f t="shared" si="21"/>
        <v>27.85</v>
      </c>
      <c r="AN13">
        <f t="shared" si="15"/>
        <v>27.85</v>
      </c>
      <c r="AO13">
        <f t="shared" si="15"/>
        <v>27.85</v>
      </c>
      <c r="AP13">
        <f t="shared" si="15"/>
        <v>27.85</v>
      </c>
      <c r="AQ13">
        <f t="shared" si="15"/>
        <v>27.85</v>
      </c>
      <c r="AR13">
        <f t="shared" si="15"/>
        <v>27.85</v>
      </c>
      <c r="AS13">
        <f t="shared" si="15"/>
        <v>27.85</v>
      </c>
    </row>
    <row r="14" spans="1:45" x14ac:dyDescent="0.3">
      <c r="A14" t="s">
        <v>87</v>
      </c>
      <c r="B14" s="8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t="str">
        <f t="shared" si="10"/>
        <v xml:space="preserve">Airbus Nouveau développements EcoTitanium </v>
      </c>
      <c r="O14">
        <v>17.2</v>
      </c>
      <c r="P14">
        <v>16</v>
      </c>
      <c r="Q14">
        <f>P14</f>
        <v>16</v>
      </c>
      <c r="R14">
        <f t="shared" si="24"/>
        <v>16</v>
      </c>
      <c r="S14">
        <f t="shared" si="24"/>
        <v>16</v>
      </c>
      <c r="T14">
        <f t="shared" si="24"/>
        <v>16</v>
      </c>
      <c r="U14">
        <f t="shared" si="24"/>
        <v>16</v>
      </c>
      <c r="V14">
        <f t="shared" si="24"/>
        <v>16</v>
      </c>
      <c r="W14">
        <f t="shared" si="24"/>
        <v>16</v>
      </c>
      <c r="X14" t="str">
        <f t="shared" si="12"/>
        <v xml:space="preserve">Airbus Nouveau développements EcoTitanium </v>
      </c>
      <c r="Z14">
        <v>0</v>
      </c>
      <c r="AA14">
        <f>Z14</f>
        <v>0</v>
      </c>
      <c r="AB14">
        <f t="shared" si="19"/>
        <v>0</v>
      </c>
      <c r="AC14">
        <f t="shared" si="19"/>
        <v>0</v>
      </c>
      <c r="AD14">
        <f t="shared" si="19"/>
        <v>0</v>
      </c>
      <c r="AE14">
        <f t="shared" si="19"/>
        <v>0</v>
      </c>
      <c r="AF14">
        <f t="shared" si="19"/>
        <v>0</v>
      </c>
      <c r="AG14">
        <f t="shared" si="19"/>
        <v>0</v>
      </c>
      <c r="AH14">
        <f t="shared" si="19"/>
        <v>0</v>
      </c>
      <c r="AI14" t="str">
        <f t="shared" si="14"/>
        <v xml:space="preserve">Airbus Nouveau développements EcoTitanium </v>
      </c>
      <c r="AK14">
        <v>27.85</v>
      </c>
      <c r="AL14">
        <f t="shared" si="22"/>
        <v>27.85</v>
      </c>
      <c r="AM14">
        <f t="shared" si="21"/>
        <v>27.85</v>
      </c>
      <c r="AN14">
        <f t="shared" si="15"/>
        <v>27.85</v>
      </c>
      <c r="AO14">
        <f t="shared" si="15"/>
        <v>27.85</v>
      </c>
      <c r="AP14">
        <f t="shared" si="15"/>
        <v>27.85</v>
      </c>
      <c r="AQ14">
        <f t="shared" si="15"/>
        <v>27.85</v>
      </c>
      <c r="AR14">
        <f t="shared" si="15"/>
        <v>27.85</v>
      </c>
      <c r="AS14">
        <f t="shared" si="15"/>
        <v>27.85</v>
      </c>
    </row>
    <row r="15" spans="1:45" x14ac:dyDescent="0.3">
      <c r="A15" t="s">
        <v>85</v>
      </c>
      <c r="B15" s="8" t="s">
        <v>56</v>
      </c>
      <c r="C15">
        <v>19</v>
      </c>
      <c r="D15">
        <f>C15</f>
        <v>19</v>
      </c>
      <c r="E15">
        <f t="shared" ref="E15:L15" si="27">D15</f>
        <v>19</v>
      </c>
      <c r="F15">
        <f t="shared" si="27"/>
        <v>19</v>
      </c>
      <c r="G15">
        <f t="shared" si="27"/>
        <v>19</v>
      </c>
      <c r="H15">
        <f t="shared" si="27"/>
        <v>19</v>
      </c>
      <c r="I15">
        <f t="shared" si="27"/>
        <v>19</v>
      </c>
      <c r="J15">
        <f t="shared" si="27"/>
        <v>19</v>
      </c>
      <c r="K15">
        <f t="shared" si="27"/>
        <v>19</v>
      </c>
      <c r="L15">
        <f t="shared" si="27"/>
        <v>19</v>
      </c>
      <c r="M15" t="str">
        <f t="shared" si="10"/>
        <v>Rattrapage Année N-1</v>
      </c>
      <c r="N15">
        <v>17.2</v>
      </c>
      <c r="O15">
        <v>17.2</v>
      </c>
      <c r="P15">
        <v>0</v>
      </c>
      <c r="Q15">
        <f>P15</f>
        <v>0</v>
      </c>
      <c r="R15">
        <f t="shared" si="24"/>
        <v>0</v>
      </c>
      <c r="S15">
        <f t="shared" si="24"/>
        <v>0</v>
      </c>
      <c r="T15">
        <f t="shared" si="24"/>
        <v>0</v>
      </c>
      <c r="U15">
        <f t="shared" si="24"/>
        <v>0</v>
      </c>
      <c r="V15">
        <f t="shared" si="24"/>
        <v>0</v>
      </c>
      <c r="W15">
        <f t="shared" si="24"/>
        <v>0</v>
      </c>
      <c r="X15" t="str">
        <f t="shared" si="12"/>
        <v>Rattrapage Année N-1</v>
      </c>
      <c r="Z15">
        <v>31.1</v>
      </c>
      <c r="AA15">
        <v>0</v>
      </c>
      <c r="AB15">
        <f t="shared" si="19"/>
        <v>0</v>
      </c>
      <c r="AC15">
        <f t="shared" si="19"/>
        <v>0</v>
      </c>
      <c r="AD15">
        <f t="shared" si="19"/>
        <v>0</v>
      </c>
      <c r="AE15">
        <f t="shared" si="19"/>
        <v>0</v>
      </c>
      <c r="AF15">
        <f t="shared" si="19"/>
        <v>0</v>
      </c>
      <c r="AG15">
        <f t="shared" si="19"/>
        <v>0</v>
      </c>
      <c r="AH15">
        <f t="shared" si="19"/>
        <v>0</v>
      </c>
      <c r="AI15" t="str">
        <f t="shared" si="14"/>
        <v>Rattrapage Année N-1</v>
      </c>
      <c r="AK15">
        <v>0</v>
      </c>
      <c r="AL15">
        <f t="shared" si="22"/>
        <v>0</v>
      </c>
      <c r="AM15">
        <f t="shared" si="21"/>
        <v>0</v>
      </c>
      <c r="AN15">
        <f t="shared" si="15"/>
        <v>0</v>
      </c>
      <c r="AO15">
        <f t="shared" si="15"/>
        <v>0</v>
      </c>
      <c r="AP15">
        <f t="shared" si="15"/>
        <v>0</v>
      </c>
      <c r="AQ15">
        <f t="shared" si="15"/>
        <v>0</v>
      </c>
      <c r="AR15">
        <f t="shared" si="15"/>
        <v>0</v>
      </c>
      <c r="AS15">
        <f t="shared" si="15"/>
        <v>0</v>
      </c>
    </row>
    <row r="16" spans="1:45" x14ac:dyDescent="0.3">
      <c r="A16" t="s">
        <v>84</v>
      </c>
      <c r="B16" s="2" t="s">
        <v>0</v>
      </c>
      <c r="C16">
        <v>18</v>
      </c>
      <c r="D16">
        <v>18</v>
      </c>
      <c r="E16">
        <v>16.25</v>
      </c>
      <c r="F16">
        <f>E16</f>
        <v>16.25</v>
      </c>
      <c r="G16">
        <f t="shared" ref="G16:L16" si="28">F16</f>
        <v>16.25</v>
      </c>
      <c r="H16">
        <f t="shared" si="28"/>
        <v>16.25</v>
      </c>
      <c r="I16">
        <f t="shared" si="28"/>
        <v>16.25</v>
      </c>
      <c r="J16">
        <f t="shared" si="28"/>
        <v>16.25</v>
      </c>
      <c r="K16">
        <f t="shared" si="28"/>
        <v>16.25</v>
      </c>
      <c r="L16">
        <f t="shared" si="28"/>
        <v>16.25</v>
      </c>
      <c r="M16" t="str">
        <f t="shared" si="10"/>
        <v>Airbus Fasteners</v>
      </c>
      <c r="N16">
        <v>0</v>
      </c>
      <c r="O16">
        <f t="shared" ref="O16:W17" si="29">N16</f>
        <v>0</v>
      </c>
      <c r="P16">
        <f t="shared" si="29"/>
        <v>0</v>
      </c>
      <c r="Q16">
        <f t="shared" si="29"/>
        <v>0</v>
      </c>
      <c r="R16">
        <f t="shared" si="29"/>
        <v>0</v>
      </c>
      <c r="S16">
        <f t="shared" si="29"/>
        <v>0</v>
      </c>
      <c r="T16">
        <f t="shared" si="29"/>
        <v>0</v>
      </c>
      <c r="U16">
        <f t="shared" si="29"/>
        <v>0</v>
      </c>
      <c r="V16">
        <f t="shared" si="29"/>
        <v>0</v>
      </c>
      <c r="W16">
        <f t="shared" si="29"/>
        <v>0</v>
      </c>
      <c r="X16" t="str">
        <f t="shared" si="12"/>
        <v>Airbus Fasteners</v>
      </c>
      <c r="Z16">
        <v>25.5</v>
      </c>
      <c r="AA16">
        <v>23.5</v>
      </c>
      <c r="AB16">
        <f>AA16</f>
        <v>23.5</v>
      </c>
      <c r="AC16">
        <f t="shared" si="19"/>
        <v>23.5</v>
      </c>
      <c r="AD16">
        <f t="shared" si="19"/>
        <v>23.5</v>
      </c>
      <c r="AE16">
        <f t="shared" si="19"/>
        <v>23.5</v>
      </c>
      <c r="AF16">
        <f t="shared" si="19"/>
        <v>23.5</v>
      </c>
      <c r="AG16">
        <f t="shared" si="19"/>
        <v>23.5</v>
      </c>
      <c r="AH16">
        <f t="shared" si="19"/>
        <v>23.5</v>
      </c>
      <c r="AI16" t="str">
        <f t="shared" si="14"/>
        <v>Airbus Fasteners</v>
      </c>
      <c r="AK16">
        <v>0</v>
      </c>
      <c r="AL16">
        <f t="shared" si="22"/>
        <v>0</v>
      </c>
      <c r="AM16">
        <f t="shared" si="21"/>
        <v>0</v>
      </c>
      <c r="AN16">
        <f t="shared" si="15"/>
        <v>0</v>
      </c>
      <c r="AO16">
        <f t="shared" si="15"/>
        <v>0</v>
      </c>
      <c r="AP16">
        <f t="shared" si="15"/>
        <v>0</v>
      </c>
      <c r="AQ16">
        <f t="shared" si="15"/>
        <v>0</v>
      </c>
      <c r="AR16">
        <f t="shared" si="15"/>
        <v>0</v>
      </c>
      <c r="AS16">
        <f t="shared" si="15"/>
        <v>0</v>
      </c>
    </row>
    <row r="17" spans="1:45" x14ac:dyDescent="0.3">
      <c r="A17" t="s">
        <v>84</v>
      </c>
      <c r="B17" s="2" t="s">
        <v>22</v>
      </c>
      <c r="C17">
        <v>17.2</v>
      </c>
      <c r="D17">
        <v>17.2</v>
      </c>
      <c r="E17">
        <f>D17</f>
        <v>17.2</v>
      </c>
      <c r="F17">
        <f t="shared" ref="F17:L17" si="30">E17</f>
        <v>17.2</v>
      </c>
      <c r="G17">
        <f t="shared" si="30"/>
        <v>17.2</v>
      </c>
      <c r="H17">
        <f t="shared" si="30"/>
        <v>17.2</v>
      </c>
      <c r="I17">
        <f t="shared" si="30"/>
        <v>17.2</v>
      </c>
      <c r="J17">
        <f t="shared" si="30"/>
        <v>17.2</v>
      </c>
      <c r="K17">
        <f t="shared" si="30"/>
        <v>17.2</v>
      </c>
      <c r="L17">
        <f t="shared" si="30"/>
        <v>17.2</v>
      </c>
      <c r="M17" t="str">
        <f t="shared" si="10"/>
        <v xml:space="preserve">Setforge </v>
      </c>
      <c r="N17">
        <v>0</v>
      </c>
      <c r="O17">
        <f t="shared" si="29"/>
        <v>0</v>
      </c>
      <c r="P17">
        <f t="shared" si="29"/>
        <v>0</v>
      </c>
      <c r="Q17">
        <f t="shared" si="29"/>
        <v>0</v>
      </c>
      <c r="R17">
        <f t="shared" si="29"/>
        <v>0</v>
      </c>
      <c r="S17">
        <f t="shared" si="29"/>
        <v>0</v>
      </c>
      <c r="T17">
        <f t="shared" si="29"/>
        <v>0</v>
      </c>
      <c r="U17">
        <f t="shared" si="29"/>
        <v>0</v>
      </c>
      <c r="V17">
        <f t="shared" si="29"/>
        <v>0</v>
      </c>
      <c r="W17">
        <f t="shared" si="29"/>
        <v>0</v>
      </c>
      <c r="X17" t="str">
        <f t="shared" si="12"/>
        <v xml:space="preserve">Setforge </v>
      </c>
      <c r="Z17">
        <f t="shared" ref="Z17:AG17" si="31">34*parite</f>
        <v>40.46</v>
      </c>
      <c r="AA17">
        <f t="shared" si="31"/>
        <v>40.799999999999997</v>
      </c>
      <c r="AB17">
        <f t="shared" si="31"/>
        <v>41.82</v>
      </c>
      <c r="AC17">
        <f t="shared" si="31"/>
        <v>42.466000000000001</v>
      </c>
      <c r="AD17">
        <f t="shared" si="31"/>
        <v>43.077999999999996</v>
      </c>
      <c r="AE17">
        <f t="shared" si="31"/>
        <v>43.077999999999996</v>
      </c>
      <c r="AF17">
        <f t="shared" si="31"/>
        <v>43.077999999999996</v>
      </c>
      <c r="AG17">
        <f t="shared" si="31"/>
        <v>43.077999999999996</v>
      </c>
      <c r="AH17">
        <f t="shared" ref="AB17:AH18" si="32">AG17</f>
        <v>43.077999999999996</v>
      </c>
      <c r="AI17" t="str">
        <f t="shared" si="14"/>
        <v xml:space="preserve">Setforge </v>
      </c>
      <c r="AK17">
        <v>0</v>
      </c>
      <c r="AL17">
        <f t="shared" si="22"/>
        <v>0</v>
      </c>
      <c r="AM17">
        <f t="shared" si="21"/>
        <v>0</v>
      </c>
      <c r="AN17">
        <f t="shared" si="15"/>
        <v>0</v>
      </c>
      <c r="AO17">
        <f t="shared" si="15"/>
        <v>0</v>
      </c>
      <c r="AP17">
        <f t="shared" si="15"/>
        <v>0</v>
      </c>
      <c r="AQ17">
        <f t="shared" si="15"/>
        <v>0</v>
      </c>
      <c r="AR17">
        <f t="shared" si="15"/>
        <v>0</v>
      </c>
      <c r="AS17">
        <f t="shared" si="15"/>
        <v>0</v>
      </c>
    </row>
    <row r="18" spans="1:45" x14ac:dyDescent="0.3">
      <c r="A18" t="s">
        <v>85</v>
      </c>
      <c r="B18" s="2" t="s">
        <v>26</v>
      </c>
      <c r="C18">
        <v>17.2</v>
      </c>
      <c r="D18">
        <f>C18</f>
        <v>17.2</v>
      </c>
      <c r="E18">
        <f t="shared" ref="E18:L18" si="33">D18</f>
        <v>17.2</v>
      </c>
      <c r="F18">
        <f t="shared" si="33"/>
        <v>17.2</v>
      </c>
      <c r="G18">
        <f t="shared" si="33"/>
        <v>17.2</v>
      </c>
      <c r="H18">
        <f t="shared" si="33"/>
        <v>17.2</v>
      </c>
      <c r="I18">
        <f t="shared" si="33"/>
        <v>17.2</v>
      </c>
      <c r="J18">
        <f t="shared" si="33"/>
        <v>17.2</v>
      </c>
      <c r="K18">
        <f t="shared" si="33"/>
        <v>17.2</v>
      </c>
      <c r="L18">
        <f t="shared" si="33"/>
        <v>17.2</v>
      </c>
      <c r="M18" t="str">
        <f t="shared" si="10"/>
        <v>Plymouth Hors Airbus, UAC, CEFIVAL</v>
      </c>
      <c r="O18">
        <v>15.5</v>
      </c>
      <c r="P18">
        <f>O18</f>
        <v>15.5</v>
      </c>
      <c r="Q18">
        <f t="shared" ref="Q18:W18" si="34">P18</f>
        <v>15.5</v>
      </c>
      <c r="R18">
        <f t="shared" si="34"/>
        <v>15.5</v>
      </c>
      <c r="S18">
        <f t="shared" si="34"/>
        <v>15.5</v>
      </c>
      <c r="T18">
        <f t="shared" si="34"/>
        <v>15.5</v>
      </c>
      <c r="U18">
        <f t="shared" si="34"/>
        <v>15.5</v>
      </c>
      <c r="V18">
        <f t="shared" si="34"/>
        <v>15.5</v>
      </c>
      <c r="W18">
        <f t="shared" si="34"/>
        <v>15.5</v>
      </c>
      <c r="X18" t="str">
        <f t="shared" si="12"/>
        <v>Plymouth Hors Airbus, UAC, CEFIVAL</v>
      </c>
      <c r="Z18">
        <v>30</v>
      </c>
      <c r="AA18">
        <f>Z18</f>
        <v>30</v>
      </c>
      <c r="AB18">
        <f t="shared" si="32"/>
        <v>30</v>
      </c>
      <c r="AC18">
        <f t="shared" si="32"/>
        <v>30</v>
      </c>
      <c r="AD18">
        <f t="shared" si="32"/>
        <v>30</v>
      </c>
      <c r="AE18">
        <f t="shared" si="32"/>
        <v>30</v>
      </c>
      <c r="AF18">
        <f t="shared" si="32"/>
        <v>30</v>
      </c>
      <c r="AG18">
        <f t="shared" si="32"/>
        <v>30</v>
      </c>
      <c r="AH18">
        <f t="shared" si="32"/>
        <v>30</v>
      </c>
      <c r="AI18" t="str">
        <f t="shared" si="14"/>
        <v>Plymouth Hors Airbus, UAC, CEFIVAL</v>
      </c>
      <c r="AK18">
        <v>26.76</v>
      </c>
      <c r="AL18">
        <f t="shared" si="22"/>
        <v>26.76</v>
      </c>
      <c r="AM18">
        <f t="shared" si="21"/>
        <v>26.76</v>
      </c>
      <c r="AN18">
        <f t="shared" si="15"/>
        <v>26.76</v>
      </c>
      <c r="AO18">
        <f t="shared" si="15"/>
        <v>26.76</v>
      </c>
      <c r="AP18">
        <f t="shared" si="15"/>
        <v>26.76</v>
      </c>
      <c r="AQ18">
        <f t="shared" si="15"/>
        <v>26.76</v>
      </c>
      <c r="AR18">
        <f t="shared" si="15"/>
        <v>26.76</v>
      </c>
      <c r="AS18">
        <f t="shared" si="15"/>
        <v>26.76</v>
      </c>
    </row>
    <row r="19" spans="1:45" x14ac:dyDescent="0.3">
      <c r="A19" t="s">
        <v>85</v>
      </c>
      <c r="B19" s="8" t="s">
        <v>12</v>
      </c>
      <c r="C19">
        <v>17.2</v>
      </c>
      <c r="D19">
        <v>17.2</v>
      </c>
      <c r="E19">
        <f>D19</f>
        <v>17.2</v>
      </c>
      <c r="F19">
        <f t="shared" ref="F19:L19" si="35">E19</f>
        <v>17.2</v>
      </c>
      <c r="G19">
        <f t="shared" si="35"/>
        <v>17.2</v>
      </c>
      <c r="H19">
        <f t="shared" si="35"/>
        <v>17.2</v>
      </c>
      <c r="I19">
        <f t="shared" si="35"/>
        <v>17.2</v>
      </c>
      <c r="J19">
        <f t="shared" si="35"/>
        <v>17.2</v>
      </c>
      <c r="K19">
        <f t="shared" si="35"/>
        <v>17.2</v>
      </c>
      <c r="L19">
        <f t="shared" si="35"/>
        <v>17.2</v>
      </c>
      <c r="M19" t="str">
        <f t="shared" si="10"/>
        <v>MCC Trunnion Global 700 Pamiers</v>
      </c>
      <c r="O19" s="29">
        <v>16</v>
      </c>
      <c r="P19" s="29">
        <f>O19</f>
        <v>16</v>
      </c>
      <c r="Q19" s="29">
        <f t="shared" ref="Q19:W19" si="36">P19</f>
        <v>16</v>
      </c>
      <c r="R19" s="29">
        <f t="shared" si="36"/>
        <v>16</v>
      </c>
      <c r="S19" s="29">
        <f t="shared" si="36"/>
        <v>16</v>
      </c>
      <c r="T19" s="29">
        <f t="shared" si="36"/>
        <v>16</v>
      </c>
      <c r="U19" s="29">
        <f t="shared" si="36"/>
        <v>16</v>
      </c>
      <c r="V19" s="29">
        <f t="shared" si="36"/>
        <v>16</v>
      </c>
      <c r="W19">
        <f t="shared" si="36"/>
        <v>16</v>
      </c>
      <c r="X19" t="str">
        <f t="shared" si="12"/>
        <v>MCC Trunnion Global 700 Pamiers</v>
      </c>
      <c r="Z19">
        <v>30.5</v>
      </c>
      <c r="AA19">
        <f>Z19</f>
        <v>30.5</v>
      </c>
      <c r="AB19">
        <f t="shared" ref="AB19:AH19" si="37">AA19</f>
        <v>30.5</v>
      </c>
      <c r="AC19">
        <f t="shared" si="37"/>
        <v>30.5</v>
      </c>
      <c r="AD19">
        <f t="shared" si="37"/>
        <v>30.5</v>
      </c>
      <c r="AE19">
        <f t="shared" si="37"/>
        <v>30.5</v>
      </c>
      <c r="AF19">
        <f t="shared" si="37"/>
        <v>30.5</v>
      </c>
      <c r="AG19">
        <f t="shared" si="37"/>
        <v>30.5</v>
      </c>
      <c r="AH19">
        <f t="shared" si="37"/>
        <v>30.5</v>
      </c>
      <c r="AI19" t="str">
        <f t="shared" si="14"/>
        <v>MCC Trunnion Global 700 Pamiers</v>
      </c>
      <c r="AK19">
        <v>28</v>
      </c>
      <c r="AL19">
        <f t="shared" si="22"/>
        <v>28</v>
      </c>
      <c r="AM19">
        <f t="shared" si="21"/>
        <v>28</v>
      </c>
      <c r="AN19">
        <f t="shared" si="15"/>
        <v>28</v>
      </c>
      <c r="AO19">
        <f t="shared" si="15"/>
        <v>28</v>
      </c>
      <c r="AP19">
        <f t="shared" si="15"/>
        <v>28</v>
      </c>
      <c r="AQ19">
        <f t="shared" si="15"/>
        <v>28</v>
      </c>
      <c r="AR19">
        <f t="shared" si="15"/>
        <v>28</v>
      </c>
      <c r="AS19">
        <f t="shared" si="15"/>
        <v>28</v>
      </c>
    </row>
    <row r="20" spans="1:45" x14ac:dyDescent="0.3">
      <c r="A20" t="s">
        <v>85</v>
      </c>
      <c r="B20" s="8" t="s">
        <v>1</v>
      </c>
      <c r="C20">
        <v>17.2</v>
      </c>
      <c r="D20">
        <f>C20</f>
        <v>17.2</v>
      </c>
      <c r="E20">
        <f t="shared" ref="E20:L20" si="38">D20</f>
        <v>17.2</v>
      </c>
      <c r="F20">
        <f t="shared" si="38"/>
        <v>17.2</v>
      </c>
      <c r="G20">
        <f t="shared" si="38"/>
        <v>17.2</v>
      </c>
      <c r="H20">
        <f t="shared" si="38"/>
        <v>17.2</v>
      </c>
      <c r="I20">
        <f t="shared" si="38"/>
        <v>17.2</v>
      </c>
      <c r="J20">
        <f t="shared" si="38"/>
        <v>17.2</v>
      </c>
      <c r="K20">
        <f t="shared" si="38"/>
        <v>17.2</v>
      </c>
      <c r="L20">
        <f t="shared" si="38"/>
        <v>17.2</v>
      </c>
      <c r="M20" t="str">
        <f t="shared" si="10"/>
        <v>Bombardier via AD</v>
      </c>
      <c r="O20" s="29">
        <v>16</v>
      </c>
      <c r="P20" s="29">
        <f>O20</f>
        <v>16</v>
      </c>
      <c r="Q20" s="29">
        <f t="shared" ref="Q20:W20" si="39">P20</f>
        <v>16</v>
      </c>
      <c r="R20" s="29">
        <f t="shared" si="39"/>
        <v>16</v>
      </c>
      <c r="S20" s="29">
        <f t="shared" si="39"/>
        <v>16</v>
      </c>
      <c r="T20" s="29">
        <f t="shared" si="39"/>
        <v>16</v>
      </c>
      <c r="U20" s="29">
        <f t="shared" si="39"/>
        <v>16</v>
      </c>
      <c r="V20" s="29">
        <f t="shared" si="39"/>
        <v>16</v>
      </c>
      <c r="W20">
        <f t="shared" si="39"/>
        <v>16</v>
      </c>
      <c r="X20" t="str">
        <f t="shared" si="12"/>
        <v>Bombardier via AD</v>
      </c>
      <c r="Z20">
        <v>31</v>
      </c>
      <c r="AA20">
        <f>Z20</f>
        <v>31</v>
      </c>
      <c r="AB20">
        <f t="shared" ref="AB20:AH20" si="40">AA20</f>
        <v>31</v>
      </c>
      <c r="AC20">
        <f t="shared" si="40"/>
        <v>31</v>
      </c>
      <c r="AD20">
        <f t="shared" si="40"/>
        <v>31</v>
      </c>
      <c r="AE20">
        <f t="shared" si="40"/>
        <v>31</v>
      </c>
      <c r="AF20">
        <f t="shared" si="40"/>
        <v>31</v>
      </c>
      <c r="AG20">
        <f t="shared" si="40"/>
        <v>31</v>
      </c>
      <c r="AH20">
        <f t="shared" si="40"/>
        <v>31</v>
      </c>
      <c r="AI20" t="str">
        <f t="shared" si="14"/>
        <v>Bombardier via AD</v>
      </c>
      <c r="AK20">
        <v>27.88</v>
      </c>
      <c r="AL20">
        <f t="shared" si="22"/>
        <v>27.88</v>
      </c>
      <c r="AM20">
        <f t="shared" si="21"/>
        <v>27.88</v>
      </c>
      <c r="AN20">
        <f t="shared" si="15"/>
        <v>27.88</v>
      </c>
      <c r="AO20">
        <f t="shared" si="15"/>
        <v>27.88</v>
      </c>
      <c r="AP20">
        <f t="shared" si="15"/>
        <v>27.88</v>
      </c>
      <c r="AQ20">
        <f t="shared" si="15"/>
        <v>27.88</v>
      </c>
      <c r="AR20">
        <f t="shared" si="15"/>
        <v>27.88</v>
      </c>
      <c r="AS20">
        <f t="shared" si="15"/>
        <v>27.88</v>
      </c>
    </row>
    <row r="21" spans="1:45" x14ac:dyDescent="0.3">
      <c r="A21" t="s">
        <v>84</v>
      </c>
      <c r="B21" s="8" t="s">
        <v>2</v>
      </c>
      <c r="C21">
        <v>17.2</v>
      </c>
      <c r="D21">
        <f>C21</f>
        <v>17.2</v>
      </c>
      <c r="E21">
        <f t="shared" ref="E21:L21" si="41">D21</f>
        <v>17.2</v>
      </c>
      <c r="F21">
        <f t="shared" si="41"/>
        <v>17.2</v>
      </c>
      <c r="G21">
        <f t="shared" si="41"/>
        <v>17.2</v>
      </c>
      <c r="H21">
        <f t="shared" si="41"/>
        <v>17.2</v>
      </c>
      <c r="I21">
        <f t="shared" si="41"/>
        <v>17.2</v>
      </c>
      <c r="J21">
        <f t="shared" si="41"/>
        <v>17.2</v>
      </c>
      <c r="K21">
        <f t="shared" si="41"/>
        <v>17.2</v>
      </c>
      <c r="L21">
        <f t="shared" si="41"/>
        <v>17.2</v>
      </c>
      <c r="M21" t="str">
        <f t="shared" si="10"/>
        <v>Comac via AD</v>
      </c>
      <c r="N21">
        <v>0</v>
      </c>
      <c r="O21">
        <f>N21</f>
        <v>0</v>
      </c>
      <c r="P21">
        <f t="shared" ref="P21:W24" si="42">O21</f>
        <v>0</v>
      </c>
      <c r="Q21">
        <f t="shared" si="42"/>
        <v>0</v>
      </c>
      <c r="R21">
        <f t="shared" si="42"/>
        <v>0</v>
      </c>
      <c r="S21">
        <f t="shared" si="42"/>
        <v>0</v>
      </c>
      <c r="T21">
        <f t="shared" si="42"/>
        <v>0</v>
      </c>
      <c r="U21">
        <f t="shared" si="42"/>
        <v>0</v>
      </c>
      <c r="V21">
        <f t="shared" si="42"/>
        <v>0</v>
      </c>
      <c r="W21">
        <f t="shared" si="42"/>
        <v>0</v>
      </c>
      <c r="X21" t="str">
        <f t="shared" si="12"/>
        <v>Comac via AD</v>
      </c>
      <c r="Z21">
        <v>31</v>
      </c>
      <c r="AA21">
        <f>Z21</f>
        <v>31</v>
      </c>
      <c r="AB21">
        <f t="shared" ref="AB21:AH39" si="43">AA21</f>
        <v>31</v>
      </c>
      <c r="AC21">
        <f t="shared" si="43"/>
        <v>31</v>
      </c>
      <c r="AD21">
        <f t="shared" si="43"/>
        <v>31</v>
      </c>
      <c r="AE21">
        <f t="shared" si="43"/>
        <v>31</v>
      </c>
      <c r="AF21">
        <f t="shared" si="43"/>
        <v>31</v>
      </c>
      <c r="AG21">
        <f t="shared" si="43"/>
        <v>31</v>
      </c>
      <c r="AH21">
        <f t="shared" si="43"/>
        <v>31</v>
      </c>
      <c r="AI21" t="str">
        <f t="shared" si="14"/>
        <v>Comac via AD</v>
      </c>
      <c r="AK21">
        <v>0</v>
      </c>
      <c r="AL21">
        <f t="shared" si="22"/>
        <v>0</v>
      </c>
      <c r="AM21">
        <f t="shared" si="21"/>
        <v>0</v>
      </c>
      <c r="AN21">
        <f t="shared" si="15"/>
        <v>0</v>
      </c>
      <c r="AO21">
        <f t="shared" si="15"/>
        <v>0</v>
      </c>
      <c r="AP21">
        <f t="shared" si="15"/>
        <v>0</v>
      </c>
      <c r="AQ21">
        <f t="shared" si="15"/>
        <v>0</v>
      </c>
      <c r="AR21">
        <f t="shared" si="15"/>
        <v>0</v>
      </c>
      <c r="AS21">
        <f t="shared" si="15"/>
        <v>0</v>
      </c>
    </row>
    <row r="22" spans="1:45" x14ac:dyDescent="0.3">
      <c r="A22" t="s">
        <v>87</v>
      </c>
      <c r="B22" s="8" t="s">
        <v>10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t="str">
        <f t="shared" si="10"/>
        <v>Médical Stainless ACNIS AD</v>
      </c>
      <c r="O22">
        <v>17.3</v>
      </c>
      <c r="P22">
        <f>O22</f>
        <v>17.3</v>
      </c>
      <c r="Q22">
        <f t="shared" si="42"/>
        <v>17.3</v>
      </c>
      <c r="R22">
        <f t="shared" si="42"/>
        <v>17.3</v>
      </c>
      <c r="S22">
        <f t="shared" si="42"/>
        <v>17.3</v>
      </c>
      <c r="T22">
        <f t="shared" si="42"/>
        <v>17.3</v>
      </c>
      <c r="U22">
        <f t="shared" si="42"/>
        <v>17.3</v>
      </c>
      <c r="V22">
        <f t="shared" si="42"/>
        <v>17.3</v>
      </c>
      <c r="W22">
        <f t="shared" si="42"/>
        <v>17.3</v>
      </c>
      <c r="X22" t="str">
        <f t="shared" si="12"/>
        <v>Médical Stainless ACNIS AD</v>
      </c>
      <c r="Z22">
        <v>0</v>
      </c>
      <c r="AA22">
        <v>0</v>
      </c>
      <c r="AB22">
        <f t="shared" si="43"/>
        <v>0</v>
      </c>
      <c r="AC22">
        <f t="shared" si="43"/>
        <v>0</v>
      </c>
      <c r="AD22">
        <f t="shared" si="43"/>
        <v>0</v>
      </c>
      <c r="AE22">
        <f t="shared" si="43"/>
        <v>0</v>
      </c>
      <c r="AF22">
        <f t="shared" si="43"/>
        <v>0</v>
      </c>
      <c r="AG22">
        <f t="shared" si="43"/>
        <v>0</v>
      </c>
      <c r="AH22">
        <f t="shared" si="43"/>
        <v>0</v>
      </c>
      <c r="AI22" t="str">
        <f t="shared" si="14"/>
        <v>Médical Stainless ACNIS AD</v>
      </c>
      <c r="AK22">
        <v>25</v>
      </c>
      <c r="AL22">
        <f t="shared" si="22"/>
        <v>25</v>
      </c>
      <c r="AM22">
        <f t="shared" si="21"/>
        <v>25</v>
      </c>
      <c r="AN22">
        <f t="shared" si="15"/>
        <v>25</v>
      </c>
      <c r="AO22">
        <f t="shared" si="15"/>
        <v>25</v>
      </c>
      <c r="AP22">
        <f t="shared" si="15"/>
        <v>25</v>
      </c>
      <c r="AQ22">
        <f t="shared" si="15"/>
        <v>25</v>
      </c>
      <c r="AR22">
        <f t="shared" si="15"/>
        <v>25</v>
      </c>
      <c r="AS22">
        <f t="shared" si="15"/>
        <v>25</v>
      </c>
    </row>
    <row r="23" spans="1:45" x14ac:dyDescent="0.3">
      <c r="A23" t="s">
        <v>87</v>
      </c>
      <c r="B23" s="8" t="s">
        <v>16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t="str">
        <f t="shared" si="10"/>
        <v>Liebherr</v>
      </c>
      <c r="O23" s="31">
        <f t="shared" ref="O23:W23" si="44">15/1.19*parite</f>
        <v>15.000000000000002</v>
      </c>
      <c r="P23" s="31">
        <f t="shared" si="44"/>
        <v>15.126050420168069</v>
      </c>
      <c r="Q23" s="31">
        <f t="shared" si="44"/>
        <v>15.504201680672271</v>
      </c>
      <c r="R23" s="31">
        <f t="shared" si="44"/>
        <v>15.743697478991599</v>
      </c>
      <c r="S23" s="31">
        <f t="shared" si="44"/>
        <v>15.970588235294118</v>
      </c>
      <c r="T23" s="31">
        <f t="shared" si="44"/>
        <v>15.970588235294118</v>
      </c>
      <c r="U23" s="31">
        <f t="shared" si="44"/>
        <v>15.970588235294118</v>
      </c>
      <c r="V23" s="31">
        <f t="shared" si="44"/>
        <v>15.970588235294118</v>
      </c>
      <c r="W23" s="31">
        <f t="shared" si="44"/>
        <v>15.970588235294118</v>
      </c>
      <c r="X23" t="str">
        <f t="shared" si="12"/>
        <v>Liebherr</v>
      </c>
      <c r="Z23">
        <v>0</v>
      </c>
      <c r="AA23">
        <f t="shared" ref="AA23:AB38" si="45">Z23</f>
        <v>0</v>
      </c>
      <c r="AB23">
        <f t="shared" si="45"/>
        <v>0</v>
      </c>
      <c r="AC23">
        <f t="shared" si="43"/>
        <v>0</v>
      </c>
      <c r="AD23">
        <f t="shared" si="43"/>
        <v>0</v>
      </c>
      <c r="AE23">
        <f t="shared" si="43"/>
        <v>0</v>
      </c>
      <c r="AF23">
        <f t="shared" si="43"/>
        <v>0</v>
      </c>
      <c r="AG23">
        <f t="shared" si="43"/>
        <v>0</v>
      </c>
      <c r="AH23">
        <f t="shared" si="43"/>
        <v>0</v>
      </c>
      <c r="AI23" t="str">
        <f t="shared" si="14"/>
        <v>Liebherr</v>
      </c>
      <c r="AK23" s="31">
        <f t="shared" ref="AK23:AS23" si="46">23.81*parite</f>
        <v>28.333899999999996</v>
      </c>
      <c r="AL23" s="31">
        <f t="shared" si="46"/>
        <v>28.571999999999999</v>
      </c>
      <c r="AM23" s="31">
        <f t="shared" si="46"/>
        <v>29.286299999999997</v>
      </c>
      <c r="AN23" s="31">
        <f t="shared" si="46"/>
        <v>29.738690000000002</v>
      </c>
      <c r="AO23" s="31">
        <f t="shared" si="46"/>
        <v>30.167269999999995</v>
      </c>
      <c r="AP23" s="31">
        <f t="shared" si="46"/>
        <v>30.167269999999995</v>
      </c>
      <c r="AQ23" s="31">
        <f t="shared" si="46"/>
        <v>30.167269999999995</v>
      </c>
      <c r="AR23" s="31">
        <f t="shared" si="46"/>
        <v>30.167269999999995</v>
      </c>
      <c r="AS23" s="31">
        <f t="shared" si="46"/>
        <v>30.167269999999995</v>
      </c>
    </row>
    <row r="24" spans="1:45" x14ac:dyDescent="0.3">
      <c r="A24" t="s">
        <v>87</v>
      </c>
      <c r="B24" s="8" t="s">
        <v>21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t="str">
        <f t="shared" si="10"/>
        <v>Forgital 6-4 couronnes aéro Safran ou RR</v>
      </c>
      <c r="O24">
        <v>14.5</v>
      </c>
      <c r="P24">
        <f>O24</f>
        <v>14.5</v>
      </c>
      <c r="Q24">
        <f t="shared" si="42"/>
        <v>14.5</v>
      </c>
      <c r="R24">
        <f t="shared" si="42"/>
        <v>14.5</v>
      </c>
      <c r="S24">
        <f t="shared" si="42"/>
        <v>14.5</v>
      </c>
      <c r="T24">
        <f t="shared" si="42"/>
        <v>14.5</v>
      </c>
      <c r="U24">
        <f t="shared" si="42"/>
        <v>14.5</v>
      </c>
      <c r="V24">
        <f t="shared" si="42"/>
        <v>14.5</v>
      </c>
      <c r="W24">
        <f t="shared" si="42"/>
        <v>14.5</v>
      </c>
      <c r="X24" t="str">
        <f t="shared" si="12"/>
        <v>Forgital 6-4 couronnes aéro Safran ou RR</v>
      </c>
      <c r="Z24">
        <v>23</v>
      </c>
      <c r="AA24">
        <f t="shared" si="45"/>
        <v>23</v>
      </c>
      <c r="AB24">
        <f t="shared" si="45"/>
        <v>23</v>
      </c>
      <c r="AC24">
        <f t="shared" si="43"/>
        <v>23</v>
      </c>
      <c r="AD24">
        <f t="shared" si="43"/>
        <v>23</v>
      </c>
      <c r="AE24">
        <f t="shared" si="43"/>
        <v>23</v>
      </c>
      <c r="AF24">
        <f t="shared" si="43"/>
        <v>23</v>
      </c>
      <c r="AG24">
        <f t="shared" si="43"/>
        <v>23</v>
      </c>
      <c r="AH24">
        <f t="shared" si="43"/>
        <v>23</v>
      </c>
      <c r="AI24" t="str">
        <f t="shared" si="14"/>
        <v>Forgital 6-4 couronnes aéro Safran ou RR</v>
      </c>
      <c r="AK24">
        <v>23</v>
      </c>
      <c r="AL24">
        <f t="shared" si="22"/>
        <v>23</v>
      </c>
      <c r="AM24">
        <f t="shared" si="21"/>
        <v>23</v>
      </c>
      <c r="AN24">
        <f t="shared" si="15"/>
        <v>23</v>
      </c>
      <c r="AO24">
        <f t="shared" si="15"/>
        <v>23</v>
      </c>
      <c r="AP24">
        <f t="shared" si="15"/>
        <v>23</v>
      </c>
      <c r="AQ24">
        <f t="shared" si="15"/>
        <v>23</v>
      </c>
      <c r="AR24">
        <f t="shared" si="15"/>
        <v>23</v>
      </c>
      <c r="AS24">
        <f t="shared" si="15"/>
        <v>23</v>
      </c>
    </row>
    <row r="25" spans="1:45" x14ac:dyDescent="0.3">
      <c r="A25" t="s">
        <v>85</v>
      </c>
      <c r="B25" s="8" t="s">
        <v>3</v>
      </c>
      <c r="C25">
        <v>17.2</v>
      </c>
      <c r="D25">
        <f>C25</f>
        <v>17.2</v>
      </c>
      <c r="E25">
        <f t="shared" ref="E25:L26" si="47">D25</f>
        <v>17.2</v>
      </c>
      <c r="F25">
        <f t="shared" si="47"/>
        <v>17.2</v>
      </c>
      <c r="G25">
        <f t="shared" si="47"/>
        <v>17.2</v>
      </c>
      <c r="H25">
        <f t="shared" si="47"/>
        <v>17.2</v>
      </c>
      <c r="I25">
        <f t="shared" si="47"/>
        <v>17.2</v>
      </c>
      <c r="J25">
        <f t="shared" si="47"/>
        <v>17.2</v>
      </c>
      <c r="K25">
        <f t="shared" si="47"/>
        <v>17.2</v>
      </c>
      <c r="L25">
        <f t="shared" si="47"/>
        <v>17.2</v>
      </c>
      <c r="M25" t="str">
        <f t="shared" si="10"/>
        <v>Otto Fuchs</v>
      </c>
      <c r="N25">
        <v>15.2</v>
      </c>
      <c r="O25" s="31">
        <f t="shared" ref="O25:W25" si="48">15.5/1.19*parite</f>
        <v>15.5</v>
      </c>
      <c r="P25" s="31">
        <f t="shared" si="48"/>
        <v>15.630252100840336</v>
      </c>
      <c r="Q25" s="31">
        <f t="shared" si="48"/>
        <v>16.021008403361343</v>
      </c>
      <c r="R25" s="31">
        <f t="shared" si="48"/>
        <v>16.268487394957983</v>
      </c>
      <c r="S25" s="31">
        <f t="shared" si="48"/>
        <v>16.502941176470586</v>
      </c>
      <c r="T25" s="31">
        <f t="shared" si="48"/>
        <v>16.502941176470586</v>
      </c>
      <c r="U25" s="31">
        <f t="shared" si="48"/>
        <v>16.502941176470586</v>
      </c>
      <c r="V25" s="31">
        <f t="shared" si="48"/>
        <v>16.502941176470586</v>
      </c>
      <c r="W25" s="31">
        <f t="shared" si="48"/>
        <v>16.502941176470586</v>
      </c>
      <c r="X25" t="str">
        <f t="shared" si="12"/>
        <v>Otto Fuchs</v>
      </c>
      <c r="Z25">
        <v>35</v>
      </c>
      <c r="AA25">
        <f t="shared" si="45"/>
        <v>35</v>
      </c>
      <c r="AB25">
        <f t="shared" si="45"/>
        <v>35</v>
      </c>
      <c r="AC25">
        <f t="shared" si="43"/>
        <v>35</v>
      </c>
      <c r="AD25">
        <f t="shared" si="43"/>
        <v>35</v>
      </c>
      <c r="AE25">
        <f t="shared" si="43"/>
        <v>35</v>
      </c>
      <c r="AF25">
        <f t="shared" si="43"/>
        <v>35</v>
      </c>
      <c r="AG25">
        <f t="shared" si="43"/>
        <v>35</v>
      </c>
      <c r="AH25">
        <f t="shared" si="43"/>
        <v>35</v>
      </c>
      <c r="AI25" t="str">
        <f t="shared" si="14"/>
        <v>Otto Fuchs</v>
      </c>
      <c r="AK25" s="31">
        <f t="shared" ref="AK25:AS25" si="49">27*parite</f>
        <v>32.129999999999995</v>
      </c>
      <c r="AL25" s="31">
        <f t="shared" si="49"/>
        <v>32.4</v>
      </c>
      <c r="AM25" s="31">
        <f t="shared" si="49"/>
        <v>33.21</v>
      </c>
      <c r="AN25" s="31">
        <f t="shared" si="49"/>
        <v>33.723000000000006</v>
      </c>
      <c r="AO25" s="31">
        <f t="shared" si="49"/>
        <v>34.208999999999996</v>
      </c>
      <c r="AP25" s="31">
        <f t="shared" si="49"/>
        <v>34.208999999999996</v>
      </c>
      <c r="AQ25" s="31">
        <f t="shared" si="49"/>
        <v>34.208999999999996</v>
      </c>
      <c r="AR25" s="31">
        <f t="shared" si="49"/>
        <v>34.208999999999996</v>
      </c>
      <c r="AS25" s="31">
        <f t="shared" si="49"/>
        <v>34.208999999999996</v>
      </c>
    </row>
    <row r="26" spans="1:45" x14ac:dyDescent="0.3">
      <c r="A26" t="s">
        <v>85</v>
      </c>
      <c r="B26" s="8" t="s">
        <v>32</v>
      </c>
      <c r="C26">
        <v>15.9</v>
      </c>
      <c r="D26">
        <f>C26</f>
        <v>15.9</v>
      </c>
      <c r="E26">
        <f t="shared" si="47"/>
        <v>15.9</v>
      </c>
      <c r="F26">
        <f t="shared" si="47"/>
        <v>15.9</v>
      </c>
      <c r="G26">
        <f t="shared" si="47"/>
        <v>15.9</v>
      </c>
      <c r="H26">
        <f t="shared" si="47"/>
        <v>15.9</v>
      </c>
      <c r="I26">
        <f t="shared" si="47"/>
        <v>15.9</v>
      </c>
      <c r="J26">
        <f t="shared" si="47"/>
        <v>15.9</v>
      </c>
      <c r="K26">
        <f t="shared" si="47"/>
        <v>15.9</v>
      </c>
      <c r="L26">
        <f t="shared" si="47"/>
        <v>15.9</v>
      </c>
      <c r="M26" t="str">
        <f t="shared" si="10"/>
        <v>Bohler B brame pour tôles Aero</v>
      </c>
      <c r="N26">
        <v>13.05</v>
      </c>
      <c r="O26">
        <f>N26</f>
        <v>13.05</v>
      </c>
      <c r="P26">
        <f t="shared" ref="P26:W27" si="50">O26</f>
        <v>13.05</v>
      </c>
      <c r="Q26">
        <f t="shared" si="50"/>
        <v>13.05</v>
      </c>
      <c r="R26">
        <f t="shared" si="50"/>
        <v>13.05</v>
      </c>
      <c r="S26">
        <f t="shared" si="50"/>
        <v>13.05</v>
      </c>
      <c r="T26">
        <f t="shared" si="50"/>
        <v>13.05</v>
      </c>
      <c r="U26">
        <f t="shared" si="50"/>
        <v>13.05</v>
      </c>
      <c r="V26">
        <f t="shared" si="50"/>
        <v>13.05</v>
      </c>
      <c r="W26">
        <f t="shared" si="50"/>
        <v>13.05</v>
      </c>
      <c r="X26" t="str">
        <f t="shared" si="12"/>
        <v>Bohler B brame pour tôles Aero</v>
      </c>
      <c r="Z26">
        <v>22.74</v>
      </c>
      <c r="AA26">
        <f t="shared" si="45"/>
        <v>22.74</v>
      </c>
      <c r="AB26">
        <f t="shared" si="45"/>
        <v>22.74</v>
      </c>
      <c r="AC26">
        <f t="shared" si="43"/>
        <v>22.74</v>
      </c>
      <c r="AD26">
        <f t="shared" si="43"/>
        <v>22.74</v>
      </c>
      <c r="AE26">
        <f t="shared" si="43"/>
        <v>22.74</v>
      </c>
      <c r="AF26">
        <f t="shared" si="43"/>
        <v>22.74</v>
      </c>
      <c r="AG26">
        <f t="shared" si="43"/>
        <v>22.74</v>
      </c>
      <c r="AH26">
        <f t="shared" si="43"/>
        <v>22.74</v>
      </c>
      <c r="AI26" t="str">
        <f t="shared" si="14"/>
        <v>Bohler B brame pour tôles Aero</v>
      </c>
      <c r="AK26">
        <v>19.690000000000001</v>
      </c>
      <c r="AL26">
        <f t="shared" si="22"/>
        <v>19.690000000000001</v>
      </c>
      <c r="AM26">
        <f t="shared" ref="AM26:AS26" si="51">AL26</f>
        <v>19.690000000000001</v>
      </c>
      <c r="AN26">
        <f t="shared" si="51"/>
        <v>19.690000000000001</v>
      </c>
      <c r="AO26">
        <f t="shared" si="51"/>
        <v>19.690000000000001</v>
      </c>
      <c r="AP26">
        <f t="shared" si="51"/>
        <v>19.690000000000001</v>
      </c>
      <c r="AQ26">
        <f t="shared" si="51"/>
        <v>19.690000000000001</v>
      </c>
      <c r="AR26">
        <f t="shared" si="51"/>
        <v>19.690000000000001</v>
      </c>
      <c r="AS26">
        <f t="shared" si="51"/>
        <v>19.690000000000001</v>
      </c>
    </row>
    <row r="27" spans="1:45" x14ac:dyDescent="0.3">
      <c r="A27" t="s">
        <v>87</v>
      </c>
      <c r="B27" s="8" t="s">
        <v>35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t="str">
        <f t="shared" si="10"/>
        <v>Bohler B brame pour tôles Défense US (DFAS)</v>
      </c>
      <c r="N27">
        <v>16</v>
      </c>
      <c r="O27">
        <f>N27</f>
        <v>16</v>
      </c>
      <c r="P27">
        <f t="shared" si="50"/>
        <v>16</v>
      </c>
      <c r="Q27">
        <f t="shared" si="50"/>
        <v>16</v>
      </c>
      <c r="R27">
        <f t="shared" si="50"/>
        <v>16</v>
      </c>
      <c r="S27">
        <f t="shared" si="50"/>
        <v>16</v>
      </c>
      <c r="T27">
        <f t="shared" si="50"/>
        <v>16</v>
      </c>
      <c r="U27">
        <f t="shared" si="50"/>
        <v>16</v>
      </c>
      <c r="V27">
        <f t="shared" si="50"/>
        <v>16</v>
      </c>
      <c r="W27">
        <f t="shared" si="50"/>
        <v>16</v>
      </c>
      <c r="X27" t="str">
        <f t="shared" si="12"/>
        <v>Bohler B brame pour tôles Défense US (DFAS)</v>
      </c>
      <c r="Z27">
        <v>0</v>
      </c>
      <c r="AA27">
        <f t="shared" si="45"/>
        <v>0</v>
      </c>
      <c r="AB27">
        <f t="shared" si="45"/>
        <v>0</v>
      </c>
      <c r="AC27">
        <f t="shared" si="43"/>
        <v>0</v>
      </c>
      <c r="AD27">
        <f t="shared" si="43"/>
        <v>0</v>
      </c>
      <c r="AE27">
        <f t="shared" si="43"/>
        <v>0</v>
      </c>
      <c r="AF27">
        <f t="shared" si="43"/>
        <v>0</v>
      </c>
      <c r="AG27">
        <f t="shared" si="43"/>
        <v>0</v>
      </c>
      <c r="AH27">
        <f t="shared" si="43"/>
        <v>0</v>
      </c>
      <c r="AI27" t="str">
        <f t="shared" si="14"/>
        <v>Bohler B brame pour tôles Défense US (DFAS)</v>
      </c>
      <c r="AL27">
        <v>23.5</v>
      </c>
      <c r="AM27">
        <f t="shared" ref="AM27:AM39" si="52">AL27</f>
        <v>23.5</v>
      </c>
      <c r="AN27">
        <f t="shared" ref="AN27:AS39" si="53">AM27</f>
        <v>23.5</v>
      </c>
      <c r="AO27">
        <f t="shared" si="53"/>
        <v>23.5</v>
      </c>
      <c r="AP27">
        <f t="shared" si="53"/>
        <v>23.5</v>
      </c>
      <c r="AQ27">
        <f t="shared" si="53"/>
        <v>23.5</v>
      </c>
      <c r="AR27">
        <f t="shared" si="53"/>
        <v>23.5</v>
      </c>
      <c r="AS27">
        <f t="shared" si="53"/>
        <v>23.5</v>
      </c>
    </row>
    <row r="28" spans="1:45" x14ac:dyDescent="0.3">
      <c r="A28" t="s">
        <v>84</v>
      </c>
      <c r="B28" s="8" t="s">
        <v>33</v>
      </c>
      <c r="E28">
        <v>17.3</v>
      </c>
      <c r="F28">
        <f>E28</f>
        <v>17.3</v>
      </c>
      <c r="G28">
        <f t="shared" ref="G28:L29" si="54">F28</f>
        <v>17.3</v>
      </c>
      <c r="H28">
        <f t="shared" si="54"/>
        <v>17.3</v>
      </c>
      <c r="I28">
        <f t="shared" si="54"/>
        <v>17.3</v>
      </c>
      <c r="J28">
        <f t="shared" si="54"/>
        <v>17.3</v>
      </c>
      <c r="K28">
        <f t="shared" si="54"/>
        <v>17.3</v>
      </c>
      <c r="L28">
        <f t="shared" si="54"/>
        <v>17.3</v>
      </c>
      <c r="M28" t="str">
        <f t="shared" si="10"/>
        <v>Bohler B brame pour tôles gr 23</v>
      </c>
      <c r="N28">
        <v>0</v>
      </c>
      <c r="O28">
        <f t="shared" ref="O28:W31" si="55">N28</f>
        <v>0</v>
      </c>
      <c r="P28">
        <f t="shared" si="55"/>
        <v>0</v>
      </c>
      <c r="Q28">
        <f t="shared" si="55"/>
        <v>0</v>
      </c>
      <c r="R28">
        <f t="shared" si="55"/>
        <v>0</v>
      </c>
      <c r="S28">
        <f t="shared" si="55"/>
        <v>0</v>
      </c>
      <c r="T28">
        <f t="shared" si="55"/>
        <v>0</v>
      </c>
      <c r="U28">
        <f t="shared" si="55"/>
        <v>0</v>
      </c>
      <c r="V28">
        <f t="shared" si="55"/>
        <v>0</v>
      </c>
      <c r="W28">
        <f t="shared" si="55"/>
        <v>0</v>
      </c>
      <c r="X28" t="str">
        <f t="shared" si="12"/>
        <v>Bohler B brame pour tôles gr 23</v>
      </c>
      <c r="Z28">
        <v>25.83</v>
      </c>
      <c r="AA28">
        <f t="shared" si="45"/>
        <v>25.83</v>
      </c>
      <c r="AB28">
        <f t="shared" si="45"/>
        <v>25.83</v>
      </c>
      <c r="AC28">
        <f t="shared" si="43"/>
        <v>25.83</v>
      </c>
      <c r="AD28">
        <f t="shared" si="43"/>
        <v>25.83</v>
      </c>
      <c r="AE28">
        <f t="shared" si="43"/>
        <v>25.83</v>
      </c>
      <c r="AF28">
        <f t="shared" si="43"/>
        <v>25.83</v>
      </c>
      <c r="AG28">
        <f t="shared" si="43"/>
        <v>25.83</v>
      </c>
      <c r="AH28">
        <f t="shared" si="43"/>
        <v>25.83</v>
      </c>
      <c r="AI28" t="str">
        <f t="shared" si="14"/>
        <v>Bohler B brame pour tôles gr 23</v>
      </c>
      <c r="AK28">
        <v>0</v>
      </c>
      <c r="AL28">
        <f t="shared" ref="AL28:AL39" si="56">AK28</f>
        <v>0</v>
      </c>
      <c r="AM28">
        <f t="shared" si="52"/>
        <v>0</v>
      </c>
      <c r="AN28">
        <f t="shared" si="53"/>
        <v>0</v>
      </c>
      <c r="AO28">
        <f t="shared" si="53"/>
        <v>0</v>
      </c>
      <c r="AP28">
        <f t="shared" si="53"/>
        <v>0</v>
      </c>
      <c r="AQ28">
        <f t="shared" si="53"/>
        <v>0</v>
      </c>
      <c r="AR28">
        <f t="shared" si="53"/>
        <v>0</v>
      </c>
      <c r="AS28">
        <f t="shared" si="53"/>
        <v>0</v>
      </c>
    </row>
    <row r="29" spans="1:45" x14ac:dyDescent="0.3">
      <c r="A29" t="s">
        <v>84</v>
      </c>
      <c r="B29" s="8" t="s">
        <v>34</v>
      </c>
      <c r="E29">
        <v>11</v>
      </c>
      <c r="F29">
        <f>E29</f>
        <v>11</v>
      </c>
      <c r="G29">
        <f t="shared" si="54"/>
        <v>11</v>
      </c>
      <c r="H29">
        <f t="shared" si="54"/>
        <v>11</v>
      </c>
      <c r="I29">
        <f t="shared" si="54"/>
        <v>11</v>
      </c>
      <c r="J29">
        <f t="shared" si="54"/>
        <v>11</v>
      </c>
      <c r="K29">
        <f t="shared" si="54"/>
        <v>11</v>
      </c>
      <c r="L29">
        <f t="shared" si="54"/>
        <v>11</v>
      </c>
      <c r="M29" t="str">
        <f t="shared" si="10"/>
        <v>Bohler B brame pour tôles gr 4</v>
      </c>
      <c r="N29">
        <v>0</v>
      </c>
      <c r="O29">
        <f t="shared" si="55"/>
        <v>0</v>
      </c>
      <c r="P29">
        <f t="shared" si="55"/>
        <v>0</v>
      </c>
      <c r="Q29">
        <f t="shared" si="55"/>
        <v>0</v>
      </c>
      <c r="R29">
        <f t="shared" si="55"/>
        <v>0</v>
      </c>
      <c r="S29">
        <f t="shared" si="55"/>
        <v>0</v>
      </c>
      <c r="T29">
        <f t="shared" si="55"/>
        <v>0</v>
      </c>
      <c r="U29">
        <f t="shared" si="55"/>
        <v>0</v>
      </c>
      <c r="V29">
        <f t="shared" si="55"/>
        <v>0</v>
      </c>
      <c r="W29">
        <f t="shared" si="55"/>
        <v>0</v>
      </c>
      <c r="X29" t="str">
        <f t="shared" si="12"/>
        <v>Bohler B brame pour tôles gr 4</v>
      </c>
      <c r="Z29">
        <v>17.75</v>
      </c>
      <c r="AA29">
        <f t="shared" si="45"/>
        <v>17.75</v>
      </c>
      <c r="AB29">
        <f t="shared" si="45"/>
        <v>17.75</v>
      </c>
      <c r="AC29">
        <f t="shared" si="43"/>
        <v>17.75</v>
      </c>
      <c r="AD29">
        <f t="shared" si="43"/>
        <v>17.75</v>
      </c>
      <c r="AE29">
        <f t="shared" si="43"/>
        <v>17.75</v>
      </c>
      <c r="AF29">
        <f t="shared" si="43"/>
        <v>17.75</v>
      </c>
      <c r="AG29">
        <f t="shared" si="43"/>
        <v>17.75</v>
      </c>
      <c r="AH29">
        <f t="shared" si="43"/>
        <v>17.75</v>
      </c>
      <c r="AI29" t="str">
        <f t="shared" si="14"/>
        <v>Bohler B brame pour tôles gr 4</v>
      </c>
      <c r="AK29">
        <v>0</v>
      </c>
      <c r="AL29">
        <f t="shared" si="56"/>
        <v>0</v>
      </c>
      <c r="AM29">
        <f t="shared" si="52"/>
        <v>0</v>
      </c>
      <c r="AN29">
        <f t="shared" si="53"/>
        <v>0</v>
      </c>
      <c r="AO29">
        <f t="shared" si="53"/>
        <v>0</v>
      </c>
      <c r="AP29">
        <f t="shared" si="53"/>
        <v>0</v>
      </c>
      <c r="AQ29">
        <f t="shared" si="53"/>
        <v>0</v>
      </c>
      <c r="AR29">
        <f t="shared" si="53"/>
        <v>0</v>
      </c>
      <c r="AS29">
        <f t="shared" si="53"/>
        <v>0</v>
      </c>
    </row>
    <row r="30" spans="1:45" x14ac:dyDescent="0.3">
      <c r="A30" t="s">
        <v>87</v>
      </c>
      <c r="B30" s="2" t="s">
        <v>4</v>
      </c>
      <c r="C30">
        <v>17.2</v>
      </c>
      <c r="D30">
        <f>C30</f>
        <v>17.2</v>
      </c>
      <c r="E30">
        <f t="shared" ref="E30:K30" si="57">D30</f>
        <v>17.2</v>
      </c>
      <c r="F30">
        <f t="shared" si="57"/>
        <v>17.2</v>
      </c>
      <c r="G30">
        <f t="shared" si="57"/>
        <v>17.2</v>
      </c>
      <c r="H30">
        <f t="shared" si="57"/>
        <v>17.2</v>
      </c>
      <c r="I30">
        <f t="shared" si="57"/>
        <v>17.2</v>
      </c>
      <c r="J30">
        <f t="shared" si="57"/>
        <v>17.2</v>
      </c>
      <c r="K30">
        <f t="shared" si="57"/>
        <v>17.2</v>
      </c>
      <c r="L30">
        <v>0</v>
      </c>
      <c r="M30" t="str">
        <f t="shared" si="10"/>
        <v>Autres Clients hors Airbus</v>
      </c>
      <c r="N30">
        <v>16</v>
      </c>
      <c r="O30">
        <f t="shared" si="55"/>
        <v>16</v>
      </c>
      <c r="P30">
        <f t="shared" si="55"/>
        <v>16</v>
      </c>
      <c r="Q30">
        <f t="shared" si="55"/>
        <v>16</v>
      </c>
      <c r="R30">
        <f t="shared" si="55"/>
        <v>16</v>
      </c>
      <c r="S30">
        <f t="shared" si="55"/>
        <v>16</v>
      </c>
      <c r="T30">
        <f t="shared" si="55"/>
        <v>16</v>
      </c>
      <c r="U30">
        <f t="shared" si="55"/>
        <v>16</v>
      </c>
      <c r="V30">
        <f t="shared" si="55"/>
        <v>16</v>
      </c>
      <c r="W30">
        <f t="shared" si="55"/>
        <v>16</v>
      </c>
      <c r="X30" t="str">
        <f t="shared" si="12"/>
        <v>Autres Clients hors Airbus</v>
      </c>
      <c r="Z30">
        <v>29.45</v>
      </c>
      <c r="AA30">
        <f t="shared" si="45"/>
        <v>29.45</v>
      </c>
      <c r="AB30">
        <f t="shared" si="45"/>
        <v>29.45</v>
      </c>
      <c r="AC30">
        <f t="shared" si="43"/>
        <v>29.45</v>
      </c>
      <c r="AD30">
        <f t="shared" si="43"/>
        <v>29.45</v>
      </c>
      <c r="AE30">
        <f t="shared" si="43"/>
        <v>29.45</v>
      </c>
      <c r="AF30">
        <f t="shared" si="43"/>
        <v>29.45</v>
      </c>
      <c r="AG30">
        <f t="shared" si="43"/>
        <v>29.45</v>
      </c>
      <c r="AH30">
        <f t="shared" si="43"/>
        <v>29.45</v>
      </c>
      <c r="AI30" t="str">
        <f t="shared" si="14"/>
        <v>Autres Clients hors Airbus</v>
      </c>
      <c r="AK30">
        <v>27.72</v>
      </c>
      <c r="AL30">
        <f t="shared" si="56"/>
        <v>27.72</v>
      </c>
      <c r="AM30">
        <f t="shared" si="52"/>
        <v>27.72</v>
      </c>
      <c r="AN30">
        <f t="shared" si="53"/>
        <v>27.72</v>
      </c>
      <c r="AO30">
        <f t="shared" si="53"/>
        <v>27.72</v>
      </c>
      <c r="AP30">
        <f t="shared" si="53"/>
        <v>27.72</v>
      </c>
      <c r="AQ30">
        <f t="shared" si="53"/>
        <v>27.72</v>
      </c>
      <c r="AR30">
        <f t="shared" si="53"/>
        <v>27.72</v>
      </c>
      <c r="AS30">
        <f t="shared" si="53"/>
        <v>27.72</v>
      </c>
    </row>
    <row r="31" spans="1:45" x14ac:dyDescent="0.3">
      <c r="A31" t="s">
        <v>87</v>
      </c>
      <c r="B31" s="8" t="s">
        <v>13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 t="str">
        <f t="shared" si="10"/>
        <v>Industriel vente lingots TA6V</v>
      </c>
      <c r="N31" s="3">
        <v>14.5</v>
      </c>
      <c r="O31">
        <f t="shared" si="55"/>
        <v>14.5</v>
      </c>
      <c r="P31">
        <f t="shared" si="55"/>
        <v>14.5</v>
      </c>
      <c r="Q31">
        <f t="shared" si="55"/>
        <v>14.5</v>
      </c>
      <c r="R31">
        <f t="shared" si="55"/>
        <v>14.5</v>
      </c>
      <c r="S31">
        <f t="shared" si="55"/>
        <v>14.5</v>
      </c>
      <c r="T31">
        <f t="shared" si="55"/>
        <v>14.5</v>
      </c>
      <c r="U31">
        <f t="shared" si="55"/>
        <v>14.5</v>
      </c>
      <c r="V31">
        <f t="shared" si="55"/>
        <v>14.5</v>
      </c>
      <c r="W31">
        <f t="shared" si="55"/>
        <v>14.5</v>
      </c>
      <c r="X31" t="str">
        <f t="shared" si="12"/>
        <v>Industriel vente lingots TA6V</v>
      </c>
      <c r="Z31">
        <v>0</v>
      </c>
      <c r="AA31">
        <f t="shared" si="45"/>
        <v>0</v>
      </c>
      <c r="AB31">
        <f t="shared" si="45"/>
        <v>0</v>
      </c>
      <c r="AC31">
        <f t="shared" si="43"/>
        <v>0</v>
      </c>
      <c r="AD31">
        <f t="shared" si="43"/>
        <v>0</v>
      </c>
      <c r="AE31">
        <f t="shared" si="43"/>
        <v>0</v>
      </c>
      <c r="AF31">
        <f t="shared" si="43"/>
        <v>0</v>
      </c>
      <c r="AG31">
        <f t="shared" si="43"/>
        <v>0</v>
      </c>
      <c r="AH31">
        <f t="shared" si="43"/>
        <v>0</v>
      </c>
      <c r="AI31" t="str">
        <f t="shared" si="14"/>
        <v>Industriel vente lingots TA6V</v>
      </c>
      <c r="AK31">
        <v>15.3</v>
      </c>
      <c r="AL31">
        <f t="shared" si="56"/>
        <v>15.3</v>
      </c>
      <c r="AM31">
        <f t="shared" si="52"/>
        <v>15.3</v>
      </c>
      <c r="AN31">
        <f t="shared" si="53"/>
        <v>15.3</v>
      </c>
      <c r="AO31">
        <f t="shared" si="53"/>
        <v>15.3</v>
      </c>
      <c r="AP31">
        <f t="shared" si="53"/>
        <v>15.3</v>
      </c>
      <c r="AQ31">
        <f t="shared" si="53"/>
        <v>15.3</v>
      </c>
      <c r="AR31">
        <f t="shared" si="53"/>
        <v>15.3</v>
      </c>
      <c r="AS31">
        <f t="shared" si="53"/>
        <v>15.3</v>
      </c>
    </row>
    <row r="32" spans="1:45" x14ac:dyDescent="0.3">
      <c r="A32" t="s">
        <v>84</v>
      </c>
      <c r="B32" s="2" t="s">
        <v>20</v>
      </c>
      <c r="E32">
        <v>11</v>
      </c>
      <c r="F32">
        <f>E32</f>
        <v>11</v>
      </c>
      <c r="G32">
        <f t="shared" ref="G32:L32" si="58">F32</f>
        <v>11</v>
      </c>
      <c r="H32">
        <f t="shared" si="58"/>
        <v>11</v>
      </c>
      <c r="I32">
        <f t="shared" si="58"/>
        <v>11</v>
      </c>
      <c r="J32">
        <f t="shared" si="58"/>
        <v>11</v>
      </c>
      <c r="K32">
        <f t="shared" si="58"/>
        <v>11</v>
      </c>
      <c r="L32">
        <f t="shared" si="58"/>
        <v>11</v>
      </c>
      <c r="M32" t="str">
        <f t="shared" si="10"/>
        <v>Industriel vente lingots CP</v>
      </c>
      <c r="N32">
        <v>0</v>
      </c>
      <c r="O32">
        <f t="shared" ref="O32:O44" si="59">N32</f>
        <v>0</v>
      </c>
      <c r="P32">
        <f t="shared" ref="P32:W33" si="60">O32</f>
        <v>0</v>
      </c>
      <c r="Q32">
        <f t="shared" si="60"/>
        <v>0</v>
      </c>
      <c r="R32">
        <f t="shared" si="60"/>
        <v>0</v>
      </c>
      <c r="S32">
        <f t="shared" si="60"/>
        <v>0</v>
      </c>
      <c r="T32">
        <f t="shared" si="60"/>
        <v>0</v>
      </c>
      <c r="U32">
        <f t="shared" si="60"/>
        <v>0</v>
      </c>
      <c r="V32">
        <f t="shared" si="60"/>
        <v>0</v>
      </c>
      <c r="W32">
        <f t="shared" si="60"/>
        <v>0</v>
      </c>
      <c r="X32" t="str">
        <f t="shared" si="12"/>
        <v>Industriel vente lingots CP</v>
      </c>
      <c r="Z32">
        <v>11.35</v>
      </c>
      <c r="AA32">
        <f t="shared" si="45"/>
        <v>11.35</v>
      </c>
      <c r="AB32">
        <f t="shared" si="45"/>
        <v>11.35</v>
      </c>
      <c r="AC32">
        <f t="shared" si="43"/>
        <v>11.35</v>
      </c>
      <c r="AD32">
        <f t="shared" si="43"/>
        <v>11.35</v>
      </c>
      <c r="AE32">
        <f t="shared" si="43"/>
        <v>11.35</v>
      </c>
      <c r="AF32">
        <f t="shared" si="43"/>
        <v>11.35</v>
      </c>
      <c r="AG32">
        <f t="shared" si="43"/>
        <v>11.35</v>
      </c>
      <c r="AH32">
        <f t="shared" si="43"/>
        <v>11.35</v>
      </c>
      <c r="AI32" t="str">
        <f t="shared" si="14"/>
        <v>Industriel vente lingots CP</v>
      </c>
      <c r="AK32">
        <v>0</v>
      </c>
      <c r="AL32">
        <f t="shared" si="56"/>
        <v>0</v>
      </c>
      <c r="AM32">
        <f t="shared" si="52"/>
        <v>0</v>
      </c>
      <c r="AN32">
        <f t="shared" si="53"/>
        <v>0</v>
      </c>
      <c r="AO32">
        <f t="shared" si="53"/>
        <v>0</v>
      </c>
      <c r="AP32">
        <f t="shared" si="53"/>
        <v>0</v>
      </c>
      <c r="AQ32">
        <f t="shared" si="53"/>
        <v>0</v>
      </c>
      <c r="AR32">
        <f t="shared" si="53"/>
        <v>0</v>
      </c>
      <c r="AS32">
        <f t="shared" si="53"/>
        <v>0</v>
      </c>
    </row>
    <row r="33" spans="1:45" x14ac:dyDescent="0.3">
      <c r="A33" t="s">
        <v>87</v>
      </c>
      <c r="B33" s="8" t="s">
        <v>17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 t="str">
        <f t="shared" si="10"/>
        <v>DP AMS 4928 + Industriel</v>
      </c>
      <c r="N33">
        <v>14.5</v>
      </c>
      <c r="O33">
        <f t="shared" si="59"/>
        <v>14.5</v>
      </c>
      <c r="P33">
        <f t="shared" si="60"/>
        <v>14.5</v>
      </c>
      <c r="Q33">
        <f t="shared" si="60"/>
        <v>14.5</v>
      </c>
      <c r="R33">
        <f t="shared" si="60"/>
        <v>14.5</v>
      </c>
      <c r="S33">
        <f t="shared" si="60"/>
        <v>14.5</v>
      </c>
      <c r="T33">
        <f t="shared" si="60"/>
        <v>14.5</v>
      </c>
      <c r="U33">
        <f t="shared" si="60"/>
        <v>14.5</v>
      </c>
      <c r="V33">
        <f t="shared" si="60"/>
        <v>14.5</v>
      </c>
      <c r="W33">
        <f t="shared" si="60"/>
        <v>14.5</v>
      </c>
      <c r="X33" t="str">
        <f t="shared" si="12"/>
        <v>DP AMS 4928 + Industriel</v>
      </c>
      <c r="Z33">
        <v>0</v>
      </c>
      <c r="AA33">
        <f t="shared" si="45"/>
        <v>0</v>
      </c>
      <c r="AB33">
        <f t="shared" si="45"/>
        <v>0</v>
      </c>
      <c r="AC33">
        <f t="shared" si="43"/>
        <v>0</v>
      </c>
      <c r="AD33">
        <f t="shared" si="43"/>
        <v>0</v>
      </c>
      <c r="AE33">
        <f t="shared" si="43"/>
        <v>0</v>
      </c>
      <c r="AF33">
        <f t="shared" si="43"/>
        <v>0</v>
      </c>
      <c r="AG33">
        <f t="shared" si="43"/>
        <v>0</v>
      </c>
      <c r="AH33">
        <f t="shared" si="43"/>
        <v>0</v>
      </c>
      <c r="AI33" t="str">
        <f t="shared" si="14"/>
        <v>DP AMS 4928 + Industriel</v>
      </c>
      <c r="AK33">
        <v>25.6</v>
      </c>
      <c r="AL33">
        <f t="shared" si="56"/>
        <v>25.6</v>
      </c>
      <c r="AM33">
        <f t="shared" si="52"/>
        <v>25.6</v>
      </c>
      <c r="AN33">
        <f t="shared" si="53"/>
        <v>25.6</v>
      </c>
      <c r="AO33">
        <f t="shared" si="53"/>
        <v>25.6</v>
      </c>
      <c r="AP33">
        <f t="shared" si="53"/>
        <v>25.6</v>
      </c>
      <c r="AQ33">
        <f t="shared" si="53"/>
        <v>25.6</v>
      </c>
      <c r="AR33">
        <f t="shared" si="53"/>
        <v>25.6</v>
      </c>
      <c r="AS33">
        <f t="shared" si="53"/>
        <v>25.6</v>
      </c>
    </row>
    <row r="34" spans="1:45" x14ac:dyDescent="0.3">
      <c r="A34" t="s">
        <v>87</v>
      </c>
      <c r="B34" s="8" t="s">
        <v>27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 t="str">
        <f t="shared" si="10"/>
        <v>Fondeurs type DMD 779 ou équivalent</v>
      </c>
      <c r="N34" s="33">
        <f t="shared" ref="N34:W34" si="61">11*parite</f>
        <v>13.09</v>
      </c>
      <c r="O34" s="33">
        <f t="shared" si="61"/>
        <v>13.09</v>
      </c>
      <c r="P34" s="33">
        <f t="shared" si="61"/>
        <v>13.2</v>
      </c>
      <c r="Q34" s="33">
        <f t="shared" si="61"/>
        <v>13.53</v>
      </c>
      <c r="R34" s="33">
        <f t="shared" si="61"/>
        <v>13.739000000000001</v>
      </c>
      <c r="S34" s="33">
        <f t="shared" si="61"/>
        <v>13.936999999999999</v>
      </c>
      <c r="T34" s="33">
        <f t="shared" si="61"/>
        <v>13.936999999999999</v>
      </c>
      <c r="U34" s="33">
        <f t="shared" si="61"/>
        <v>13.936999999999999</v>
      </c>
      <c r="V34" s="33">
        <f t="shared" si="61"/>
        <v>13.936999999999999</v>
      </c>
      <c r="W34" s="3">
        <f t="shared" si="61"/>
        <v>13.936999999999999</v>
      </c>
      <c r="X34" t="str">
        <f t="shared" si="12"/>
        <v>Fondeurs type DMD 779 ou équivalent</v>
      </c>
      <c r="Z34">
        <v>0</v>
      </c>
      <c r="AA34">
        <f t="shared" si="45"/>
        <v>0</v>
      </c>
      <c r="AB34">
        <f t="shared" si="45"/>
        <v>0</v>
      </c>
      <c r="AC34">
        <f t="shared" si="43"/>
        <v>0</v>
      </c>
      <c r="AD34">
        <f t="shared" si="43"/>
        <v>0</v>
      </c>
      <c r="AE34">
        <f t="shared" si="43"/>
        <v>0</v>
      </c>
      <c r="AF34">
        <f t="shared" si="43"/>
        <v>0</v>
      </c>
      <c r="AG34">
        <f t="shared" si="43"/>
        <v>0</v>
      </c>
      <c r="AH34">
        <f t="shared" si="43"/>
        <v>0</v>
      </c>
      <c r="AI34" t="str">
        <f t="shared" si="14"/>
        <v>Fondeurs type DMD 779 ou équivalent</v>
      </c>
      <c r="AK34" s="31">
        <f t="shared" ref="AK34:AS34" si="62">19.5*parite</f>
        <v>23.204999999999998</v>
      </c>
      <c r="AL34" s="31">
        <f t="shared" si="62"/>
        <v>23.4</v>
      </c>
      <c r="AM34" s="31">
        <f t="shared" si="62"/>
        <v>23.984999999999999</v>
      </c>
      <c r="AN34" s="31">
        <f t="shared" si="62"/>
        <v>24.355500000000003</v>
      </c>
      <c r="AO34" s="31">
        <f t="shared" si="62"/>
        <v>24.706499999999998</v>
      </c>
      <c r="AP34" s="31">
        <f t="shared" si="62"/>
        <v>24.706499999999998</v>
      </c>
      <c r="AQ34" s="31">
        <f t="shared" si="62"/>
        <v>24.706499999999998</v>
      </c>
      <c r="AR34" s="31">
        <f t="shared" si="62"/>
        <v>24.706499999999998</v>
      </c>
      <c r="AS34" s="31">
        <f t="shared" si="62"/>
        <v>24.706499999999998</v>
      </c>
    </row>
    <row r="35" spans="1:45" x14ac:dyDescent="0.3">
      <c r="A35" t="s">
        <v>84</v>
      </c>
      <c r="B35" s="8" t="s">
        <v>11</v>
      </c>
      <c r="C35">
        <v>16</v>
      </c>
      <c r="D35">
        <v>16</v>
      </c>
      <c r="E35">
        <v>16</v>
      </c>
      <c r="F35">
        <f>E35</f>
        <v>16</v>
      </c>
      <c r="G35">
        <f t="shared" ref="G35:L35" si="63">F35</f>
        <v>16</v>
      </c>
      <c r="H35">
        <f t="shared" si="63"/>
        <v>16</v>
      </c>
      <c r="I35">
        <f t="shared" si="63"/>
        <v>16</v>
      </c>
      <c r="J35">
        <f t="shared" si="63"/>
        <v>16</v>
      </c>
      <c r="K35">
        <f t="shared" si="63"/>
        <v>16</v>
      </c>
      <c r="L35">
        <f t="shared" si="63"/>
        <v>16</v>
      </c>
      <c r="M35" t="str">
        <f t="shared" si="10"/>
        <v>Safran 6-4 Safran LS</v>
      </c>
      <c r="N35">
        <f>0</f>
        <v>0</v>
      </c>
      <c r="O35">
        <f t="shared" si="59"/>
        <v>0</v>
      </c>
      <c r="P35">
        <f t="shared" ref="P35:W36" si="64">O35</f>
        <v>0</v>
      </c>
      <c r="Q35">
        <f t="shared" si="64"/>
        <v>0</v>
      </c>
      <c r="R35">
        <f t="shared" si="64"/>
        <v>0</v>
      </c>
      <c r="S35">
        <f t="shared" si="64"/>
        <v>0</v>
      </c>
      <c r="T35">
        <f t="shared" si="64"/>
        <v>0</v>
      </c>
      <c r="U35">
        <f t="shared" si="64"/>
        <v>0</v>
      </c>
      <c r="V35">
        <f t="shared" si="64"/>
        <v>0</v>
      </c>
      <c r="W35">
        <f t="shared" si="64"/>
        <v>0</v>
      </c>
      <c r="X35" t="str">
        <f t="shared" si="12"/>
        <v>Safran 6-4 Safran LS</v>
      </c>
      <c r="Z35">
        <v>23.8</v>
      </c>
      <c r="AA35">
        <f t="shared" si="45"/>
        <v>23.8</v>
      </c>
      <c r="AB35">
        <f t="shared" si="45"/>
        <v>23.8</v>
      </c>
      <c r="AC35">
        <f t="shared" si="43"/>
        <v>23.8</v>
      </c>
      <c r="AD35">
        <f t="shared" si="43"/>
        <v>23.8</v>
      </c>
      <c r="AE35">
        <f t="shared" si="43"/>
        <v>23.8</v>
      </c>
      <c r="AF35">
        <f t="shared" si="43"/>
        <v>23.8</v>
      </c>
      <c r="AG35">
        <f t="shared" si="43"/>
        <v>23.8</v>
      </c>
      <c r="AH35">
        <f t="shared" si="43"/>
        <v>23.8</v>
      </c>
      <c r="AI35" t="str">
        <f t="shared" si="14"/>
        <v>Safran 6-4 Safran LS</v>
      </c>
      <c r="AK35">
        <v>0</v>
      </c>
      <c r="AL35">
        <f t="shared" si="56"/>
        <v>0</v>
      </c>
      <c r="AM35">
        <f t="shared" si="52"/>
        <v>0</v>
      </c>
      <c r="AN35">
        <f t="shared" si="53"/>
        <v>0</v>
      </c>
      <c r="AO35">
        <f t="shared" si="53"/>
        <v>0</v>
      </c>
      <c r="AP35">
        <f t="shared" si="53"/>
        <v>0</v>
      </c>
      <c r="AQ35">
        <f t="shared" si="53"/>
        <v>0</v>
      </c>
      <c r="AR35">
        <f t="shared" si="53"/>
        <v>0</v>
      </c>
      <c r="AS35">
        <f t="shared" si="53"/>
        <v>0</v>
      </c>
    </row>
    <row r="36" spans="1:45" x14ac:dyDescent="0.3">
      <c r="A36" t="s">
        <v>85</v>
      </c>
      <c r="B36" s="8" t="s">
        <v>18</v>
      </c>
      <c r="C36">
        <v>16.25</v>
      </c>
      <c r="D36">
        <f>C36</f>
        <v>16.25</v>
      </c>
      <c r="E36">
        <f>D36</f>
        <v>16.25</v>
      </c>
      <c r="F36">
        <f t="shared" ref="F36:L36" si="65">E36</f>
        <v>16.25</v>
      </c>
      <c r="G36">
        <f t="shared" si="65"/>
        <v>16.25</v>
      </c>
      <c r="H36">
        <f t="shared" si="65"/>
        <v>16.25</v>
      </c>
      <c r="I36">
        <f t="shared" si="65"/>
        <v>16.25</v>
      </c>
      <c r="J36">
        <f t="shared" si="65"/>
        <v>16.25</v>
      </c>
      <c r="K36">
        <f t="shared" si="65"/>
        <v>16.25</v>
      </c>
      <c r="L36">
        <f t="shared" si="65"/>
        <v>16.25</v>
      </c>
      <c r="M36" t="str">
        <f t="shared" si="10"/>
        <v>Safran 6-4 Aero Booster EcoTi</v>
      </c>
      <c r="N36">
        <v>14.5</v>
      </c>
      <c r="O36">
        <f t="shared" si="59"/>
        <v>14.5</v>
      </c>
      <c r="P36">
        <f t="shared" si="64"/>
        <v>14.5</v>
      </c>
      <c r="Q36">
        <f t="shared" si="64"/>
        <v>14.5</v>
      </c>
      <c r="R36">
        <f t="shared" si="64"/>
        <v>14.5</v>
      </c>
      <c r="S36">
        <f t="shared" si="64"/>
        <v>14.5</v>
      </c>
      <c r="T36">
        <f t="shared" si="64"/>
        <v>14.5</v>
      </c>
      <c r="U36">
        <f t="shared" si="64"/>
        <v>14.5</v>
      </c>
      <c r="V36">
        <f t="shared" si="64"/>
        <v>14.5</v>
      </c>
      <c r="W36">
        <f t="shared" si="64"/>
        <v>14.5</v>
      </c>
      <c r="X36" t="str">
        <f t="shared" si="12"/>
        <v>Safran 6-4 Aero Booster EcoTi</v>
      </c>
      <c r="Z36">
        <v>23</v>
      </c>
      <c r="AA36">
        <f t="shared" si="45"/>
        <v>23</v>
      </c>
      <c r="AB36">
        <f t="shared" si="45"/>
        <v>23</v>
      </c>
      <c r="AC36">
        <f t="shared" si="43"/>
        <v>23</v>
      </c>
      <c r="AD36">
        <f t="shared" si="43"/>
        <v>23</v>
      </c>
      <c r="AE36">
        <f t="shared" si="43"/>
        <v>23</v>
      </c>
      <c r="AF36">
        <f t="shared" si="43"/>
        <v>23</v>
      </c>
      <c r="AG36">
        <f t="shared" si="43"/>
        <v>23</v>
      </c>
      <c r="AH36">
        <f t="shared" si="43"/>
        <v>23</v>
      </c>
      <c r="AI36" t="str">
        <f t="shared" si="14"/>
        <v>Safran 6-4 Aero Booster EcoTi</v>
      </c>
      <c r="AK36">
        <v>23</v>
      </c>
      <c r="AL36">
        <f t="shared" si="56"/>
        <v>23</v>
      </c>
      <c r="AM36">
        <f t="shared" si="52"/>
        <v>23</v>
      </c>
      <c r="AN36">
        <f t="shared" si="53"/>
        <v>23</v>
      </c>
      <c r="AO36">
        <f t="shared" si="53"/>
        <v>23</v>
      </c>
      <c r="AP36">
        <f t="shared" si="53"/>
        <v>23</v>
      </c>
      <c r="AQ36">
        <f t="shared" si="53"/>
        <v>23</v>
      </c>
      <c r="AR36">
        <f t="shared" si="53"/>
        <v>23</v>
      </c>
      <c r="AS36">
        <f t="shared" si="53"/>
        <v>23</v>
      </c>
    </row>
    <row r="37" spans="1:45" x14ac:dyDescent="0.3">
      <c r="A37" t="s">
        <v>84</v>
      </c>
      <c r="B37" s="2" t="s">
        <v>19</v>
      </c>
      <c r="D37">
        <v>15.95</v>
      </c>
      <c r="E37">
        <v>15.95</v>
      </c>
      <c r="F37">
        <f>E37</f>
        <v>15.95</v>
      </c>
      <c r="G37">
        <f t="shared" ref="G37:L37" si="66">F37</f>
        <v>15.95</v>
      </c>
      <c r="H37">
        <f t="shared" si="66"/>
        <v>15.95</v>
      </c>
      <c r="I37">
        <f t="shared" si="66"/>
        <v>15.95</v>
      </c>
      <c r="J37">
        <f t="shared" si="66"/>
        <v>15.95</v>
      </c>
      <c r="K37">
        <f t="shared" si="66"/>
        <v>15.95</v>
      </c>
      <c r="L37">
        <f t="shared" si="66"/>
        <v>15.95</v>
      </c>
      <c r="M37" t="str">
        <f t="shared" si="10"/>
        <v>Safran 6-4 Aero Booster UKTMP</v>
      </c>
      <c r="N37">
        <v>0</v>
      </c>
      <c r="O37">
        <f t="shared" si="59"/>
        <v>0</v>
      </c>
      <c r="P37">
        <f t="shared" ref="P37:W44" si="67">O37</f>
        <v>0</v>
      </c>
      <c r="Q37">
        <f t="shared" si="67"/>
        <v>0</v>
      </c>
      <c r="R37">
        <f t="shared" si="67"/>
        <v>0</v>
      </c>
      <c r="S37">
        <f t="shared" si="67"/>
        <v>0</v>
      </c>
      <c r="T37">
        <f t="shared" si="67"/>
        <v>0</v>
      </c>
      <c r="U37">
        <f t="shared" si="67"/>
        <v>0</v>
      </c>
      <c r="V37">
        <f t="shared" si="67"/>
        <v>0</v>
      </c>
      <c r="W37">
        <f t="shared" si="67"/>
        <v>0</v>
      </c>
      <c r="X37" t="str">
        <f t="shared" si="12"/>
        <v>Safran 6-4 Aero Booster UKTMP</v>
      </c>
      <c r="Z37">
        <v>23</v>
      </c>
      <c r="AA37">
        <f t="shared" si="45"/>
        <v>23</v>
      </c>
      <c r="AB37">
        <f t="shared" si="45"/>
        <v>23</v>
      </c>
      <c r="AC37">
        <f t="shared" si="43"/>
        <v>23</v>
      </c>
      <c r="AD37">
        <f t="shared" si="43"/>
        <v>23</v>
      </c>
      <c r="AE37">
        <f t="shared" si="43"/>
        <v>23</v>
      </c>
      <c r="AF37">
        <f t="shared" si="43"/>
        <v>23</v>
      </c>
      <c r="AG37">
        <f t="shared" si="43"/>
        <v>23</v>
      </c>
      <c r="AH37">
        <f t="shared" si="43"/>
        <v>23</v>
      </c>
      <c r="AI37" t="str">
        <f t="shared" si="14"/>
        <v>Safran 6-4 Aero Booster UKTMP</v>
      </c>
      <c r="AK37">
        <v>23</v>
      </c>
      <c r="AL37">
        <f t="shared" si="56"/>
        <v>23</v>
      </c>
      <c r="AM37">
        <f t="shared" si="52"/>
        <v>23</v>
      </c>
      <c r="AN37">
        <f t="shared" si="53"/>
        <v>23</v>
      </c>
      <c r="AO37">
        <f t="shared" si="53"/>
        <v>23</v>
      </c>
      <c r="AP37">
        <f t="shared" si="53"/>
        <v>23</v>
      </c>
      <c r="AQ37">
        <f t="shared" si="53"/>
        <v>23</v>
      </c>
      <c r="AR37">
        <f t="shared" si="53"/>
        <v>23</v>
      </c>
      <c r="AS37">
        <f t="shared" si="53"/>
        <v>23</v>
      </c>
    </row>
    <row r="38" spans="1:45" x14ac:dyDescent="0.3">
      <c r="A38" t="s">
        <v>87</v>
      </c>
      <c r="B38" s="8" t="s">
        <v>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 t="str">
        <f t="shared" si="10"/>
        <v>Stockistes, standard</v>
      </c>
      <c r="N38">
        <v>14.5</v>
      </c>
      <c r="O38">
        <f t="shared" si="59"/>
        <v>14.5</v>
      </c>
      <c r="P38">
        <f t="shared" si="67"/>
        <v>14.5</v>
      </c>
      <c r="Q38">
        <f t="shared" si="67"/>
        <v>14.5</v>
      </c>
      <c r="R38">
        <f t="shared" si="67"/>
        <v>14.5</v>
      </c>
      <c r="S38">
        <f t="shared" si="67"/>
        <v>14.5</v>
      </c>
      <c r="T38">
        <f t="shared" si="67"/>
        <v>14.5</v>
      </c>
      <c r="U38">
        <f t="shared" si="67"/>
        <v>14.5</v>
      </c>
      <c r="V38">
        <f t="shared" si="67"/>
        <v>14.5</v>
      </c>
      <c r="W38">
        <f t="shared" si="67"/>
        <v>14.5</v>
      </c>
      <c r="X38" t="str">
        <f t="shared" si="12"/>
        <v>Stockistes, standard</v>
      </c>
      <c r="Z38">
        <v>27</v>
      </c>
      <c r="AA38">
        <f t="shared" si="45"/>
        <v>27</v>
      </c>
      <c r="AB38">
        <f t="shared" si="45"/>
        <v>27</v>
      </c>
      <c r="AC38">
        <f t="shared" si="43"/>
        <v>27</v>
      </c>
      <c r="AD38">
        <f t="shared" si="43"/>
        <v>27</v>
      </c>
      <c r="AE38">
        <f t="shared" si="43"/>
        <v>27</v>
      </c>
      <c r="AF38">
        <f t="shared" si="43"/>
        <v>27</v>
      </c>
      <c r="AG38">
        <f t="shared" si="43"/>
        <v>27</v>
      </c>
      <c r="AH38">
        <f t="shared" si="43"/>
        <v>27</v>
      </c>
      <c r="AI38" t="str">
        <f t="shared" si="14"/>
        <v>Stockistes, standard</v>
      </c>
      <c r="AK38">
        <v>26</v>
      </c>
      <c r="AL38">
        <f t="shared" si="56"/>
        <v>26</v>
      </c>
      <c r="AM38">
        <f t="shared" si="52"/>
        <v>26</v>
      </c>
      <c r="AN38">
        <f t="shared" si="53"/>
        <v>26</v>
      </c>
      <c r="AO38">
        <f t="shared" si="53"/>
        <v>26</v>
      </c>
      <c r="AP38">
        <f t="shared" si="53"/>
        <v>26</v>
      </c>
      <c r="AQ38">
        <f t="shared" si="53"/>
        <v>26</v>
      </c>
      <c r="AR38">
        <f t="shared" si="53"/>
        <v>26</v>
      </c>
      <c r="AS38">
        <f t="shared" si="53"/>
        <v>26</v>
      </c>
    </row>
    <row r="39" spans="1:45" x14ac:dyDescent="0.3">
      <c r="A39" t="s">
        <v>87</v>
      </c>
      <c r="B39" s="8" t="s">
        <v>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 t="str">
        <f t="shared" si="10"/>
        <v>Safran 6-4 DQ</v>
      </c>
      <c r="N39">
        <v>17.84</v>
      </c>
      <c r="O39">
        <f t="shared" si="59"/>
        <v>17.84</v>
      </c>
      <c r="P39">
        <f t="shared" si="67"/>
        <v>17.84</v>
      </c>
      <c r="Q39">
        <f t="shared" si="67"/>
        <v>17.84</v>
      </c>
      <c r="R39">
        <f t="shared" si="67"/>
        <v>17.84</v>
      </c>
      <c r="S39">
        <f t="shared" si="67"/>
        <v>17.84</v>
      </c>
      <c r="T39">
        <f t="shared" si="67"/>
        <v>17.84</v>
      </c>
      <c r="U39">
        <f t="shared" si="67"/>
        <v>17.84</v>
      </c>
      <c r="V39">
        <f t="shared" si="67"/>
        <v>17.84</v>
      </c>
      <c r="W39">
        <f t="shared" si="67"/>
        <v>17.84</v>
      </c>
      <c r="X39" t="str">
        <f t="shared" si="12"/>
        <v>Safran 6-4 DQ</v>
      </c>
      <c r="Z39">
        <v>0</v>
      </c>
      <c r="AA39">
        <v>0</v>
      </c>
      <c r="AB39">
        <f>AA39</f>
        <v>0</v>
      </c>
      <c r="AC39">
        <v>31</v>
      </c>
      <c r="AD39">
        <f t="shared" si="43"/>
        <v>31</v>
      </c>
      <c r="AE39">
        <f t="shared" si="43"/>
        <v>31</v>
      </c>
      <c r="AF39">
        <f t="shared" si="43"/>
        <v>31</v>
      </c>
      <c r="AG39">
        <f t="shared" si="43"/>
        <v>31</v>
      </c>
      <c r="AH39">
        <f t="shared" si="43"/>
        <v>31</v>
      </c>
      <c r="AI39" t="str">
        <f t="shared" si="14"/>
        <v>Safran 6-4 DQ</v>
      </c>
      <c r="AK39">
        <v>30</v>
      </c>
      <c r="AL39">
        <f t="shared" si="56"/>
        <v>30</v>
      </c>
      <c r="AM39">
        <f t="shared" si="52"/>
        <v>30</v>
      </c>
      <c r="AN39">
        <f t="shared" si="53"/>
        <v>30</v>
      </c>
      <c r="AO39">
        <f t="shared" si="53"/>
        <v>30</v>
      </c>
      <c r="AP39">
        <f t="shared" si="53"/>
        <v>30</v>
      </c>
      <c r="AQ39">
        <f t="shared" si="53"/>
        <v>30</v>
      </c>
      <c r="AR39">
        <f t="shared" si="53"/>
        <v>30</v>
      </c>
      <c r="AS39">
        <f t="shared" si="53"/>
        <v>30</v>
      </c>
    </row>
    <row r="40" spans="1:45" x14ac:dyDescent="0.3">
      <c r="A40" t="s">
        <v>87</v>
      </c>
      <c r="B40" s="2" t="s">
        <v>24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 t="str">
        <f t="shared" si="10"/>
        <v>RR Std Billettes</v>
      </c>
      <c r="N40">
        <f t="shared" ref="N40:V41" si="68">15.8/1.19*parite</f>
        <v>15.8</v>
      </c>
      <c r="O40">
        <f t="shared" si="68"/>
        <v>15.8</v>
      </c>
      <c r="P40">
        <f t="shared" si="68"/>
        <v>15.932773109243698</v>
      </c>
      <c r="Q40">
        <f t="shared" si="68"/>
        <v>16.331092436974792</v>
      </c>
      <c r="R40">
        <f t="shared" si="68"/>
        <v>16.583361344537817</v>
      </c>
      <c r="S40">
        <f t="shared" si="68"/>
        <v>16.822352941176469</v>
      </c>
      <c r="T40">
        <f t="shared" si="68"/>
        <v>16.822352941176469</v>
      </c>
      <c r="U40">
        <f t="shared" si="68"/>
        <v>16.822352941176469</v>
      </c>
      <c r="V40">
        <f t="shared" si="68"/>
        <v>16.822352941176469</v>
      </c>
      <c r="W40">
        <f t="shared" si="67"/>
        <v>16.822352941176469</v>
      </c>
      <c r="X40" t="str">
        <f t="shared" si="12"/>
        <v>RR Std Billettes</v>
      </c>
      <c r="Z40" s="31">
        <f t="shared" ref="Z40:AH40" si="69">23.5*parite</f>
        <v>27.965</v>
      </c>
      <c r="AA40" s="31">
        <f t="shared" si="69"/>
        <v>28.2</v>
      </c>
      <c r="AB40" s="31">
        <f t="shared" si="69"/>
        <v>28.905000000000001</v>
      </c>
      <c r="AC40" s="31">
        <f t="shared" si="69"/>
        <v>29.351500000000001</v>
      </c>
      <c r="AD40" s="31">
        <f t="shared" si="69"/>
        <v>29.774499999999996</v>
      </c>
      <c r="AE40" s="31">
        <f t="shared" si="69"/>
        <v>29.774499999999996</v>
      </c>
      <c r="AF40" s="31">
        <f t="shared" si="69"/>
        <v>29.774499999999996</v>
      </c>
      <c r="AG40" s="31">
        <f t="shared" si="69"/>
        <v>29.774499999999996</v>
      </c>
      <c r="AH40">
        <f t="shared" si="69"/>
        <v>29.774499999999996</v>
      </c>
      <c r="AI40" t="str">
        <f t="shared" si="14"/>
        <v>RR Std Billettes</v>
      </c>
      <c r="AK40" s="31">
        <f t="shared" ref="AK40:AS40" si="70">22.43*parite</f>
        <v>26.691699999999997</v>
      </c>
      <c r="AL40" s="31">
        <f t="shared" si="70"/>
        <v>26.916</v>
      </c>
      <c r="AM40" s="31">
        <f t="shared" si="70"/>
        <v>27.588899999999999</v>
      </c>
      <c r="AN40" s="31">
        <f t="shared" si="70"/>
        <v>28.015070000000001</v>
      </c>
      <c r="AO40" s="31">
        <f t="shared" si="70"/>
        <v>28.418809999999997</v>
      </c>
      <c r="AP40" s="31">
        <f t="shared" si="70"/>
        <v>28.418809999999997</v>
      </c>
      <c r="AQ40" s="31">
        <f t="shared" si="70"/>
        <v>28.418809999999997</v>
      </c>
      <c r="AR40" s="31">
        <f t="shared" si="70"/>
        <v>28.418809999999997</v>
      </c>
      <c r="AS40" s="31">
        <f t="shared" si="70"/>
        <v>28.418809999999997</v>
      </c>
    </row>
    <row r="41" spans="1:45" x14ac:dyDescent="0.3">
      <c r="A41" t="s">
        <v>85</v>
      </c>
      <c r="B41" s="2" t="s">
        <v>25</v>
      </c>
      <c r="C41">
        <v>16.25</v>
      </c>
      <c r="D41">
        <f>C41</f>
        <v>16.25</v>
      </c>
      <c r="E41">
        <f t="shared" ref="E41:L41" si="71">D41</f>
        <v>16.25</v>
      </c>
      <c r="F41">
        <f t="shared" si="71"/>
        <v>16.25</v>
      </c>
      <c r="G41">
        <f t="shared" si="71"/>
        <v>16.25</v>
      </c>
      <c r="H41">
        <f t="shared" si="71"/>
        <v>16.25</v>
      </c>
      <c r="I41">
        <f t="shared" si="71"/>
        <v>16.25</v>
      </c>
      <c r="J41">
        <f t="shared" si="71"/>
        <v>16.25</v>
      </c>
      <c r="K41">
        <f t="shared" si="71"/>
        <v>16.25</v>
      </c>
      <c r="L41">
        <f t="shared" si="71"/>
        <v>16.25</v>
      </c>
      <c r="M41" t="str">
        <f t="shared" si="10"/>
        <v>RR STd Bingots</v>
      </c>
      <c r="N41">
        <f t="shared" si="68"/>
        <v>15.8</v>
      </c>
      <c r="O41">
        <f t="shared" si="68"/>
        <v>15.8</v>
      </c>
      <c r="P41">
        <f t="shared" si="68"/>
        <v>15.932773109243698</v>
      </c>
      <c r="Q41">
        <f t="shared" si="68"/>
        <v>16.331092436974792</v>
      </c>
      <c r="R41">
        <f t="shared" si="68"/>
        <v>16.583361344537817</v>
      </c>
      <c r="S41">
        <f t="shared" si="68"/>
        <v>16.822352941176469</v>
      </c>
      <c r="T41">
        <f t="shared" si="68"/>
        <v>16.822352941176469</v>
      </c>
      <c r="U41">
        <f t="shared" si="68"/>
        <v>16.822352941176469</v>
      </c>
      <c r="V41">
        <f t="shared" si="68"/>
        <v>16.822352941176469</v>
      </c>
      <c r="W41">
        <f t="shared" si="67"/>
        <v>16.822352941176469</v>
      </c>
      <c r="X41" t="str">
        <f t="shared" si="12"/>
        <v>RR STd Bingots</v>
      </c>
      <c r="Z41" s="31">
        <f t="shared" ref="Z41:AH41" si="72">19.11*parite</f>
        <v>22.7409</v>
      </c>
      <c r="AA41" s="31">
        <f t="shared" si="72"/>
        <v>22.931999999999999</v>
      </c>
      <c r="AB41" s="31">
        <f t="shared" si="72"/>
        <v>23.505299999999998</v>
      </c>
      <c r="AC41" s="31">
        <f t="shared" si="72"/>
        <v>23.868390000000002</v>
      </c>
      <c r="AD41" s="31">
        <f t="shared" si="72"/>
        <v>24.212369999999996</v>
      </c>
      <c r="AE41" s="31">
        <f t="shared" si="72"/>
        <v>24.212369999999996</v>
      </c>
      <c r="AF41" s="31">
        <f t="shared" si="72"/>
        <v>24.212369999999996</v>
      </c>
      <c r="AG41" s="31">
        <f t="shared" si="72"/>
        <v>24.212369999999996</v>
      </c>
      <c r="AH41">
        <f t="shared" si="72"/>
        <v>24.212369999999996</v>
      </c>
      <c r="AI41" t="str">
        <f t="shared" si="14"/>
        <v>RR STd Bingots</v>
      </c>
      <c r="AK41" s="31">
        <f t="shared" ref="AK41:AS41" si="73">18.2*parite</f>
        <v>21.657999999999998</v>
      </c>
      <c r="AL41" s="31">
        <f t="shared" si="73"/>
        <v>21.84</v>
      </c>
      <c r="AM41" s="31">
        <f t="shared" si="73"/>
        <v>22.385999999999999</v>
      </c>
      <c r="AN41" s="31">
        <f t="shared" si="73"/>
        <v>22.7318</v>
      </c>
      <c r="AO41" s="31">
        <f t="shared" si="73"/>
        <v>23.059399999999997</v>
      </c>
      <c r="AP41" s="31">
        <f t="shared" si="73"/>
        <v>23.059399999999997</v>
      </c>
      <c r="AQ41" s="31">
        <f t="shared" si="73"/>
        <v>23.059399999999997</v>
      </c>
      <c r="AR41" s="31">
        <f t="shared" si="73"/>
        <v>23.059399999999997</v>
      </c>
      <c r="AS41" s="31">
        <f t="shared" si="73"/>
        <v>23.059399999999997</v>
      </c>
    </row>
    <row r="42" spans="1:45" x14ac:dyDescent="0.3">
      <c r="A42" t="s">
        <v>87</v>
      </c>
      <c r="B42" s="2" t="s">
        <v>7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 t="str">
        <f t="shared" si="10"/>
        <v>RR DQ</v>
      </c>
      <c r="N42">
        <v>17.84</v>
      </c>
      <c r="O42">
        <f t="shared" si="59"/>
        <v>17.84</v>
      </c>
      <c r="P42">
        <f t="shared" si="67"/>
        <v>17.84</v>
      </c>
      <c r="Q42">
        <f t="shared" si="67"/>
        <v>17.84</v>
      </c>
      <c r="R42">
        <f t="shared" si="67"/>
        <v>17.84</v>
      </c>
      <c r="S42">
        <f t="shared" si="67"/>
        <v>17.84</v>
      </c>
      <c r="T42">
        <f t="shared" si="67"/>
        <v>17.84</v>
      </c>
      <c r="U42">
        <f t="shared" si="67"/>
        <v>17.84</v>
      </c>
      <c r="V42">
        <f t="shared" si="67"/>
        <v>17.84</v>
      </c>
      <c r="W42">
        <f t="shared" si="67"/>
        <v>17.84</v>
      </c>
      <c r="X42" t="str">
        <f t="shared" si="12"/>
        <v>RR DQ</v>
      </c>
      <c r="Z42">
        <v>0</v>
      </c>
      <c r="AA42">
        <v>0</v>
      </c>
      <c r="AB42">
        <f t="shared" ref="AB42:AG42" si="74">AA42</f>
        <v>0</v>
      </c>
      <c r="AC42">
        <f t="shared" si="74"/>
        <v>0</v>
      </c>
      <c r="AD42">
        <f t="shared" si="74"/>
        <v>0</v>
      </c>
      <c r="AE42">
        <v>31</v>
      </c>
      <c r="AF42">
        <f t="shared" si="74"/>
        <v>31</v>
      </c>
      <c r="AG42">
        <f t="shared" si="74"/>
        <v>31</v>
      </c>
      <c r="AI42" t="str">
        <f t="shared" si="14"/>
        <v>RR DQ</v>
      </c>
      <c r="AK42">
        <v>30</v>
      </c>
      <c r="AL42">
        <f>AK42</f>
        <v>30</v>
      </c>
      <c r="AM42">
        <f>AL42</f>
        <v>30</v>
      </c>
      <c r="AN42">
        <f t="shared" ref="AN42:AS42" si="75">AM42</f>
        <v>30</v>
      </c>
      <c r="AO42">
        <f t="shared" si="75"/>
        <v>30</v>
      </c>
      <c r="AP42">
        <f t="shared" si="75"/>
        <v>30</v>
      </c>
      <c r="AQ42">
        <f t="shared" si="75"/>
        <v>30</v>
      </c>
      <c r="AR42">
        <f t="shared" si="75"/>
        <v>30</v>
      </c>
      <c r="AS42">
        <f t="shared" si="75"/>
        <v>30</v>
      </c>
    </row>
    <row r="43" spans="1:45" x14ac:dyDescent="0.3">
      <c r="A43" t="s">
        <v>87</v>
      </c>
      <c r="B43" s="2" t="s">
        <v>8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 t="str">
        <f t="shared" si="10"/>
        <v>Barres à Aubes Energie</v>
      </c>
      <c r="N43">
        <v>16</v>
      </c>
      <c r="O43">
        <f t="shared" si="59"/>
        <v>16</v>
      </c>
      <c r="P43">
        <f t="shared" si="67"/>
        <v>16</v>
      </c>
      <c r="Q43">
        <f t="shared" si="67"/>
        <v>16</v>
      </c>
      <c r="R43">
        <f t="shared" si="67"/>
        <v>16</v>
      </c>
      <c r="S43">
        <f t="shared" si="67"/>
        <v>16</v>
      </c>
      <c r="T43">
        <f t="shared" si="67"/>
        <v>16</v>
      </c>
      <c r="U43">
        <f t="shared" si="67"/>
        <v>16</v>
      </c>
      <c r="V43">
        <f t="shared" si="67"/>
        <v>16</v>
      </c>
      <c r="W43">
        <f t="shared" si="67"/>
        <v>16</v>
      </c>
      <c r="X43" t="str">
        <f t="shared" si="12"/>
        <v>Barres à Aubes Energie</v>
      </c>
      <c r="Z43">
        <v>0</v>
      </c>
      <c r="AA43">
        <f>Z43</f>
        <v>0</v>
      </c>
      <c r="AB43">
        <f t="shared" ref="AB43:AH43" si="76">AA43</f>
        <v>0</v>
      </c>
      <c r="AC43">
        <f t="shared" si="76"/>
        <v>0</v>
      </c>
      <c r="AD43">
        <f t="shared" si="76"/>
        <v>0</v>
      </c>
      <c r="AE43">
        <f t="shared" si="76"/>
        <v>0</v>
      </c>
      <c r="AF43">
        <f t="shared" si="76"/>
        <v>0</v>
      </c>
      <c r="AG43">
        <f t="shared" si="76"/>
        <v>0</v>
      </c>
      <c r="AH43">
        <f t="shared" si="76"/>
        <v>0</v>
      </c>
      <c r="AI43" t="str">
        <f t="shared" si="14"/>
        <v>Barres à Aubes Energie</v>
      </c>
      <c r="AK43">
        <v>30</v>
      </c>
      <c r="AL43">
        <f>AK43</f>
        <v>30</v>
      </c>
      <c r="AM43">
        <f t="shared" ref="AM43:AS43" si="77">AL43</f>
        <v>30</v>
      </c>
      <c r="AN43">
        <f t="shared" si="77"/>
        <v>30</v>
      </c>
      <c r="AO43">
        <f t="shared" si="77"/>
        <v>30</v>
      </c>
      <c r="AP43">
        <f t="shared" si="77"/>
        <v>30</v>
      </c>
      <c r="AQ43">
        <f t="shared" si="77"/>
        <v>30</v>
      </c>
      <c r="AR43">
        <f t="shared" si="77"/>
        <v>30</v>
      </c>
      <c r="AS43">
        <f t="shared" si="77"/>
        <v>30</v>
      </c>
    </row>
    <row r="44" spans="1:45" x14ac:dyDescent="0.3">
      <c r="A44" t="s">
        <v>87</v>
      </c>
      <c r="B44" s="8" t="s">
        <v>9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 t="str">
        <f t="shared" si="10"/>
        <v>EcoTi Fasteners Interne</v>
      </c>
      <c r="N44">
        <v>16</v>
      </c>
      <c r="O44">
        <f t="shared" si="59"/>
        <v>16</v>
      </c>
      <c r="P44">
        <f t="shared" si="67"/>
        <v>16</v>
      </c>
      <c r="Q44">
        <f t="shared" si="67"/>
        <v>16</v>
      </c>
      <c r="R44">
        <f t="shared" si="67"/>
        <v>16</v>
      </c>
      <c r="S44">
        <f t="shared" si="67"/>
        <v>16</v>
      </c>
      <c r="T44">
        <f t="shared" si="67"/>
        <v>16</v>
      </c>
      <c r="U44">
        <f t="shared" si="67"/>
        <v>16</v>
      </c>
      <c r="V44">
        <f t="shared" si="67"/>
        <v>16</v>
      </c>
      <c r="W44">
        <f t="shared" si="67"/>
        <v>16</v>
      </c>
      <c r="X44" t="str">
        <f t="shared" si="12"/>
        <v>EcoTi Fasteners Interne</v>
      </c>
      <c r="Z44">
        <v>0</v>
      </c>
      <c r="AA44">
        <f>Z44</f>
        <v>0</v>
      </c>
      <c r="AB44">
        <f t="shared" ref="AB44:AH44" si="78">AA44</f>
        <v>0</v>
      </c>
      <c r="AC44">
        <f t="shared" si="78"/>
        <v>0</v>
      </c>
      <c r="AD44">
        <f t="shared" si="78"/>
        <v>0</v>
      </c>
      <c r="AE44">
        <f t="shared" si="78"/>
        <v>0</v>
      </c>
      <c r="AF44">
        <f t="shared" si="78"/>
        <v>0</v>
      </c>
      <c r="AG44">
        <f t="shared" si="78"/>
        <v>0</v>
      </c>
      <c r="AH44">
        <f t="shared" si="78"/>
        <v>0</v>
      </c>
      <c r="AI44" t="str">
        <f t="shared" si="14"/>
        <v>EcoTi Fasteners Interne</v>
      </c>
      <c r="AK44">
        <v>23.5</v>
      </c>
      <c r="AL44">
        <f>AK44</f>
        <v>23.5</v>
      </c>
      <c r="AM44">
        <f>AL44</f>
        <v>23.5</v>
      </c>
      <c r="AN44">
        <f t="shared" ref="AN44:AS44" si="79">AM44</f>
        <v>23.5</v>
      </c>
      <c r="AO44">
        <f t="shared" si="79"/>
        <v>23.5</v>
      </c>
      <c r="AP44">
        <f t="shared" si="79"/>
        <v>23.5</v>
      </c>
      <c r="AQ44">
        <f t="shared" si="79"/>
        <v>23.5</v>
      </c>
      <c r="AR44">
        <f t="shared" si="79"/>
        <v>23.5</v>
      </c>
      <c r="AS44">
        <f t="shared" si="79"/>
        <v>23.5</v>
      </c>
    </row>
    <row r="45" spans="1:45" x14ac:dyDescent="0.3">
      <c r="A45" t="s">
        <v>84</v>
      </c>
      <c r="B45" s="2" t="s">
        <v>14</v>
      </c>
      <c r="C45">
        <v>17.2</v>
      </c>
      <c r="D45">
        <v>17.2</v>
      </c>
      <c r="E45">
        <v>17.2</v>
      </c>
      <c r="F45">
        <f>E45</f>
        <v>17.2</v>
      </c>
      <c r="G45">
        <f t="shared" ref="G45:L45" si="80">F45</f>
        <v>17.2</v>
      </c>
      <c r="H45">
        <f t="shared" si="80"/>
        <v>17.2</v>
      </c>
      <c r="I45">
        <f t="shared" si="80"/>
        <v>17.2</v>
      </c>
      <c r="J45">
        <f t="shared" si="80"/>
        <v>17.2</v>
      </c>
      <c r="K45">
        <f t="shared" si="80"/>
        <v>17.2</v>
      </c>
      <c r="L45">
        <f t="shared" si="80"/>
        <v>17.2</v>
      </c>
      <c r="M45" t="str">
        <f t="shared" si="10"/>
        <v>Hemisphères Indiens, spatial et défense</v>
      </c>
      <c r="N45">
        <v>0</v>
      </c>
      <c r="O45">
        <f t="shared" ref="O45:W46" si="81">N45</f>
        <v>0</v>
      </c>
      <c r="P45">
        <f t="shared" si="81"/>
        <v>0</v>
      </c>
      <c r="Q45">
        <f t="shared" si="81"/>
        <v>0</v>
      </c>
      <c r="R45">
        <f t="shared" si="81"/>
        <v>0</v>
      </c>
      <c r="S45">
        <f t="shared" si="81"/>
        <v>0</v>
      </c>
      <c r="T45">
        <f t="shared" si="81"/>
        <v>0</v>
      </c>
      <c r="U45">
        <f t="shared" si="81"/>
        <v>0</v>
      </c>
      <c r="V45">
        <f t="shared" si="81"/>
        <v>0</v>
      </c>
      <c r="W45">
        <f t="shared" si="81"/>
        <v>0</v>
      </c>
      <c r="X45" t="str">
        <f t="shared" si="12"/>
        <v>Hemisphères Indiens, spatial et défense</v>
      </c>
      <c r="Z45">
        <v>31</v>
      </c>
      <c r="AA45">
        <f>Z45</f>
        <v>31</v>
      </c>
      <c r="AB45">
        <f t="shared" ref="AB45:AH45" si="82">AA45</f>
        <v>31</v>
      </c>
      <c r="AC45">
        <f t="shared" si="82"/>
        <v>31</v>
      </c>
      <c r="AD45">
        <f t="shared" si="82"/>
        <v>31</v>
      </c>
      <c r="AE45">
        <f t="shared" si="82"/>
        <v>31</v>
      </c>
      <c r="AF45">
        <f t="shared" si="82"/>
        <v>31</v>
      </c>
      <c r="AG45">
        <f t="shared" si="82"/>
        <v>31</v>
      </c>
      <c r="AH45">
        <f t="shared" si="82"/>
        <v>31</v>
      </c>
      <c r="AI45" t="str">
        <f t="shared" si="14"/>
        <v>Hemisphères Indiens, spatial et défense</v>
      </c>
      <c r="AK45">
        <v>0</v>
      </c>
      <c r="AL45">
        <f>AK45</f>
        <v>0</v>
      </c>
      <c r="AM45">
        <f t="shared" ref="AM45:AS45" si="83">AL45</f>
        <v>0</v>
      </c>
      <c r="AN45">
        <f t="shared" si="83"/>
        <v>0</v>
      </c>
      <c r="AO45">
        <f t="shared" si="83"/>
        <v>0</v>
      </c>
      <c r="AP45">
        <f t="shared" si="83"/>
        <v>0</v>
      </c>
      <c r="AQ45">
        <f t="shared" si="83"/>
        <v>0</v>
      </c>
      <c r="AR45">
        <f t="shared" si="83"/>
        <v>0</v>
      </c>
      <c r="AS45">
        <f t="shared" si="83"/>
        <v>0</v>
      </c>
    </row>
    <row r="46" spans="1:45" x14ac:dyDescent="0.3">
      <c r="A46" t="s">
        <v>85</v>
      </c>
      <c r="B46" s="2" t="s">
        <v>92</v>
      </c>
      <c r="C46">
        <v>0</v>
      </c>
      <c r="D46">
        <f>C46</f>
        <v>0</v>
      </c>
      <c r="E46">
        <f t="shared" ref="E46:L46" si="84">D46</f>
        <v>0</v>
      </c>
      <c r="F46">
        <f t="shared" si="84"/>
        <v>0</v>
      </c>
      <c r="G46">
        <f t="shared" si="84"/>
        <v>0</v>
      </c>
      <c r="H46">
        <f t="shared" si="84"/>
        <v>0</v>
      </c>
      <c r="I46">
        <f t="shared" si="84"/>
        <v>0</v>
      </c>
      <c r="J46">
        <f t="shared" si="84"/>
        <v>0</v>
      </c>
      <c r="K46">
        <f t="shared" si="84"/>
        <v>0</v>
      </c>
      <c r="L46">
        <f t="shared" si="84"/>
        <v>0</v>
      </c>
      <c r="M46" t="str">
        <f t="shared" si="10"/>
        <v>TàF Ti</v>
      </c>
      <c r="N46">
        <v>0</v>
      </c>
      <c r="O46">
        <f t="shared" si="81"/>
        <v>0</v>
      </c>
      <c r="P46">
        <f t="shared" si="81"/>
        <v>0</v>
      </c>
      <c r="Q46">
        <f t="shared" si="81"/>
        <v>0</v>
      </c>
      <c r="R46">
        <f t="shared" si="81"/>
        <v>0</v>
      </c>
      <c r="S46">
        <f t="shared" si="81"/>
        <v>0</v>
      </c>
      <c r="T46">
        <f t="shared" si="81"/>
        <v>0</v>
      </c>
      <c r="U46">
        <f t="shared" si="81"/>
        <v>0</v>
      </c>
      <c r="V46">
        <f t="shared" si="81"/>
        <v>0</v>
      </c>
      <c r="W46">
        <f t="shared" si="81"/>
        <v>0</v>
      </c>
      <c r="X46" t="str">
        <f t="shared" si="12"/>
        <v>TàF Ti</v>
      </c>
      <c r="Z46" s="31">
        <f t="shared" ref="Z46:AG46" si="85">2.94*parite</f>
        <v>3.4985999999999997</v>
      </c>
      <c r="AA46" s="31">
        <f t="shared" si="85"/>
        <v>3.528</v>
      </c>
      <c r="AB46" s="31">
        <f t="shared" si="85"/>
        <v>3.6162000000000001</v>
      </c>
      <c r="AC46" s="31">
        <f t="shared" si="85"/>
        <v>3.6720600000000001</v>
      </c>
      <c r="AD46" s="31">
        <f t="shared" si="85"/>
        <v>3.7249799999999995</v>
      </c>
      <c r="AE46" s="31">
        <f t="shared" si="85"/>
        <v>3.7249799999999995</v>
      </c>
      <c r="AF46" s="31">
        <f t="shared" si="85"/>
        <v>3.7249799999999995</v>
      </c>
      <c r="AG46" s="31">
        <f t="shared" si="85"/>
        <v>3.7249799999999995</v>
      </c>
      <c r="AH46">
        <f t="shared" ref="AH46" si="86">AG46</f>
        <v>3.7249799999999995</v>
      </c>
      <c r="AI46" t="str">
        <f t="shared" si="14"/>
        <v>TàF Ti</v>
      </c>
      <c r="AK46" s="31">
        <f t="shared" ref="AK46:AS46" si="87">2.94*parite</f>
        <v>3.4985999999999997</v>
      </c>
      <c r="AL46" s="31">
        <f t="shared" si="87"/>
        <v>3.528</v>
      </c>
      <c r="AM46" s="31">
        <f t="shared" si="87"/>
        <v>3.6162000000000001</v>
      </c>
      <c r="AN46" s="31">
        <f t="shared" si="87"/>
        <v>3.6720600000000001</v>
      </c>
      <c r="AO46" s="31">
        <f t="shared" si="87"/>
        <v>3.7249799999999995</v>
      </c>
      <c r="AP46" s="31">
        <f t="shared" si="87"/>
        <v>3.7249799999999995</v>
      </c>
      <c r="AQ46" s="31">
        <f t="shared" si="87"/>
        <v>3.7249799999999995</v>
      </c>
      <c r="AR46" s="31">
        <f t="shared" si="87"/>
        <v>3.7249799999999995</v>
      </c>
      <c r="AS46" s="31">
        <f t="shared" si="87"/>
        <v>3.7249799999999995</v>
      </c>
    </row>
    <row r="47" spans="1:45" x14ac:dyDescent="0.3">
      <c r="A47" t="s">
        <v>84</v>
      </c>
      <c r="B47" s="2" t="s">
        <v>89</v>
      </c>
      <c r="D47">
        <v>0</v>
      </c>
      <c r="E47">
        <f>D47</f>
        <v>0</v>
      </c>
      <c r="F47">
        <f>E47</f>
        <v>0</v>
      </c>
      <c r="G47">
        <f t="shared" ref="G47:L48" si="88">F47</f>
        <v>0</v>
      </c>
      <c r="H47">
        <f t="shared" si="88"/>
        <v>0</v>
      </c>
      <c r="I47">
        <f t="shared" si="88"/>
        <v>0</v>
      </c>
      <c r="J47">
        <f t="shared" si="88"/>
        <v>0</v>
      </c>
      <c r="K47">
        <f t="shared" si="88"/>
        <v>0</v>
      </c>
      <c r="L47">
        <f t="shared" si="88"/>
        <v>0</v>
      </c>
      <c r="M47" t="str">
        <f t="shared" si="10"/>
        <v>Ti 10 2 3 Safran LS</v>
      </c>
      <c r="N47">
        <v>0</v>
      </c>
      <c r="O47">
        <f t="shared" ref="O47:W50" si="89">N47</f>
        <v>0</v>
      </c>
      <c r="P47">
        <f t="shared" si="89"/>
        <v>0</v>
      </c>
      <c r="Q47">
        <f t="shared" si="89"/>
        <v>0</v>
      </c>
      <c r="R47">
        <f t="shared" si="89"/>
        <v>0</v>
      </c>
      <c r="S47">
        <f t="shared" si="89"/>
        <v>0</v>
      </c>
      <c r="T47">
        <f t="shared" si="89"/>
        <v>0</v>
      </c>
      <c r="U47">
        <f t="shared" si="89"/>
        <v>0</v>
      </c>
      <c r="V47">
        <f t="shared" si="89"/>
        <v>0</v>
      </c>
      <c r="W47">
        <f t="shared" si="89"/>
        <v>0</v>
      </c>
      <c r="X47" t="str">
        <f t="shared" si="12"/>
        <v>Ti 10 2 3 Safran LS</v>
      </c>
      <c r="Z47" s="31">
        <f t="shared" ref="Z47:AG47" si="90">4.84*parite</f>
        <v>5.7595999999999998</v>
      </c>
      <c r="AA47" s="31">
        <f t="shared" si="90"/>
        <v>5.8079999999999998</v>
      </c>
      <c r="AB47" s="31">
        <f t="shared" si="90"/>
        <v>5.9531999999999998</v>
      </c>
      <c r="AC47" s="31">
        <f t="shared" si="90"/>
        <v>6.0451600000000001</v>
      </c>
      <c r="AD47" s="31">
        <f t="shared" si="90"/>
        <v>6.1322799999999997</v>
      </c>
      <c r="AE47" s="31">
        <f t="shared" si="90"/>
        <v>6.1322799999999997</v>
      </c>
      <c r="AF47" s="31">
        <f t="shared" si="90"/>
        <v>6.1322799999999997</v>
      </c>
      <c r="AG47" s="31">
        <f t="shared" si="90"/>
        <v>6.1322799999999997</v>
      </c>
      <c r="AH47">
        <f t="shared" ref="AB47:AH50" si="91">AG47</f>
        <v>6.1322799999999997</v>
      </c>
      <c r="AI47" t="str">
        <f t="shared" si="14"/>
        <v>Ti 10 2 3 Safran LS</v>
      </c>
      <c r="AK47">
        <v>0</v>
      </c>
      <c r="AL47">
        <f>AK47</f>
        <v>0</v>
      </c>
      <c r="AM47">
        <f t="shared" ref="AM47:AS48" si="92">AL47</f>
        <v>0</v>
      </c>
      <c r="AN47">
        <f t="shared" si="92"/>
        <v>0</v>
      </c>
      <c r="AO47">
        <f t="shared" si="92"/>
        <v>0</v>
      </c>
      <c r="AP47">
        <f t="shared" si="92"/>
        <v>0</v>
      </c>
      <c r="AQ47">
        <f t="shared" si="92"/>
        <v>0</v>
      </c>
      <c r="AR47">
        <f t="shared" si="92"/>
        <v>0</v>
      </c>
      <c r="AS47">
        <f t="shared" si="92"/>
        <v>0</v>
      </c>
    </row>
    <row r="48" spans="1:45" x14ac:dyDescent="0.3">
      <c r="A48" t="s">
        <v>86</v>
      </c>
      <c r="B48" s="2" t="s">
        <v>88</v>
      </c>
      <c r="C48">
        <v>0</v>
      </c>
      <c r="D48">
        <f>C48</f>
        <v>0</v>
      </c>
      <c r="E48">
        <f t="shared" ref="E48:F48" si="93">D48</f>
        <v>0</v>
      </c>
      <c r="F48">
        <f t="shared" si="93"/>
        <v>0</v>
      </c>
      <c r="G48">
        <f t="shared" si="88"/>
        <v>0</v>
      </c>
      <c r="H48">
        <f t="shared" si="88"/>
        <v>0</v>
      </c>
      <c r="I48">
        <f t="shared" si="88"/>
        <v>0</v>
      </c>
      <c r="J48">
        <f t="shared" si="88"/>
        <v>0</v>
      </c>
      <c r="K48">
        <f t="shared" si="88"/>
        <v>0</v>
      </c>
      <c r="M48" s="2" t="s">
        <v>88</v>
      </c>
      <c r="X48" s="2" t="s">
        <v>88</v>
      </c>
      <c r="Z48" s="31">
        <f t="shared" ref="Z48:AG48" si="94">5.78*parite</f>
        <v>6.8781999999999996</v>
      </c>
      <c r="AA48" s="31">
        <f t="shared" si="94"/>
        <v>6.9359999999999999</v>
      </c>
      <c r="AB48" s="31">
        <f t="shared" si="94"/>
        <v>7.1093999999999999</v>
      </c>
      <c r="AC48" s="31">
        <f t="shared" si="94"/>
        <v>7.2192200000000009</v>
      </c>
      <c r="AD48" s="31">
        <f t="shared" si="94"/>
        <v>7.3232599999999994</v>
      </c>
      <c r="AE48" s="31">
        <f t="shared" si="94"/>
        <v>7.3232599999999994</v>
      </c>
      <c r="AF48" s="31">
        <f t="shared" si="94"/>
        <v>7.3232599999999994</v>
      </c>
      <c r="AG48" s="31">
        <f t="shared" si="94"/>
        <v>7.3232599999999994</v>
      </c>
      <c r="AH48">
        <f t="shared" si="91"/>
        <v>7.3232599999999994</v>
      </c>
      <c r="AI48" s="2" t="s">
        <v>88</v>
      </c>
      <c r="AK48" s="31">
        <f>5.78*parite</f>
        <v>6.8781999999999996</v>
      </c>
      <c r="AL48" s="31">
        <f>AK48</f>
        <v>6.8781999999999996</v>
      </c>
      <c r="AM48" s="31">
        <f t="shared" si="92"/>
        <v>6.8781999999999996</v>
      </c>
      <c r="AN48" s="31">
        <f t="shared" si="92"/>
        <v>6.8781999999999996</v>
      </c>
      <c r="AO48" s="31">
        <f t="shared" si="92"/>
        <v>6.8781999999999996</v>
      </c>
      <c r="AP48" s="31">
        <f t="shared" si="92"/>
        <v>6.8781999999999996</v>
      </c>
      <c r="AQ48" s="31">
        <f t="shared" si="92"/>
        <v>6.8781999999999996</v>
      </c>
      <c r="AR48" s="31">
        <f t="shared" si="92"/>
        <v>6.8781999999999996</v>
      </c>
      <c r="AS48" s="31">
        <f t="shared" si="92"/>
        <v>6.8781999999999996</v>
      </c>
    </row>
    <row r="49" spans="1:45" x14ac:dyDescent="0.3">
      <c r="A49" t="s">
        <v>84</v>
      </c>
      <c r="B49" s="2" t="s">
        <v>90</v>
      </c>
      <c r="E49">
        <v>23.28</v>
      </c>
      <c r="F49">
        <f>E49</f>
        <v>23.28</v>
      </c>
      <c r="G49">
        <f t="shared" ref="G49:L50" si="95">F49</f>
        <v>23.28</v>
      </c>
      <c r="H49">
        <f t="shared" si="95"/>
        <v>23.28</v>
      </c>
      <c r="I49">
        <f t="shared" si="95"/>
        <v>23.28</v>
      </c>
      <c r="J49">
        <f t="shared" si="95"/>
        <v>23.28</v>
      </c>
      <c r="K49">
        <f t="shared" si="95"/>
        <v>23.28</v>
      </c>
      <c r="L49">
        <f t="shared" si="95"/>
        <v>23.28</v>
      </c>
      <c r="M49" t="str">
        <f t="shared" si="10"/>
        <v>Ti 10 2 3 Airbus</v>
      </c>
      <c r="N49">
        <v>0</v>
      </c>
      <c r="O49">
        <f t="shared" si="89"/>
        <v>0</v>
      </c>
      <c r="P49">
        <f t="shared" si="89"/>
        <v>0</v>
      </c>
      <c r="Q49">
        <f t="shared" si="89"/>
        <v>0</v>
      </c>
      <c r="R49">
        <f t="shared" si="89"/>
        <v>0</v>
      </c>
      <c r="S49">
        <f t="shared" si="89"/>
        <v>0</v>
      </c>
      <c r="T49">
        <f t="shared" si="89"/>
        <v>0</v>
      </c>
      <c r="U49">
        <f t="shared" si="89"/>
        <v>0</v>
      </c>
      <c r="V49">
        <f t="shared" si="89"/>
        <v>0</v>
      </c>
      <c r="W49">
        <f t="shared" si="89"/>
        <v>0</v>
      </c>
      <c r="X49" t="str">
        <f t="shared" si="12"/>
        <v>Ti 10 2 3 Airbus</v>
      </c>
      <c r="Z49">
        <v>60.33</v>
      </c>
      <c r="AA49">
        <f>Z49</f>
        <v>60.33</v>
      </c>
      <c r="AB49">
        <f t="shared" si="91"/>
        <v>60.33</v>
      </c>
      <c r="AC49">
        <f t="shared" si="91"/>
        <v>60.33</v>
      </c>
      <c r="AD49">
        <f t="shared" si="91"/>
        <v>60.33</v>
      </c>
      <c r="AE49">
        <f t="shared" si="91"/>
        <v>60.33</v>
      </c>
      <c r="AF49">
        <f t="shared" si="91"/>
        <v>60.33</v>
      </c>
      <c r="AG49">
        <f t="shared" si="91"/>
        <v>60.33</v>
      </c>
      <c r="AH49">
        <f t="shared" si="91"/>
        <v>60.33</v>
      </c>
      <c r="AI49" t="str">
        <f t="shared" si="14"/>
        <v>Ti 10 2 3 Airbus</v>
      </c>
      <c r="AK49">
        <v>0</v>
      </c>
      <c r="AL49">
        <f>AK49</f>
        <v>0</v>
      </c>
      <c r="AM49">
        <f t="shared" ref="AM49:AS50" si="96">AL49</f>
        <v>0</v>
      </c>
      <c r="AN49">
        <f t="shared" si="96"/>
        <v>0</v>
      </c>
      <c r="AO49">
        <f t="shared" si="96"/>
        <v>0</v>
      </c>
      <c r="AP49">
        <f t="shared" si="96"/>
        <v>0</v>
      </c>
      <c r="AQ49">
        <f t="shared" si="96"/>
        <v>0</v>
      </c>
      <c r="AR49">
        <f t="shared" si="96"/>
        <v>0</v>
      </c>
      <c r="AS49">
        <f t="shared" si="96"/>
        <v>0</v>
      </c>
    </row>
    <row r="50" spans="1:45" x14ac:dyDescent="0.3">
      <c r="A50" t="s">
        <v>101</v>
      </c>
      <c r="B50" s="2" t="s">
        <v>102</v>
      </c>
      <c r="C50">
        <v>0</v>
      </c>
      <c r="D50">
        <f>C50</f>
        <v>0</v>
      </c>
      <c r="E50">
        <f t="shared" ref="E50:F50" si="97">D50</f>
        <v>0</v>
      </c>
      <c r="F50">
        <f t="shared" si="97"/>
        <v>0</v>
      </c>
      <c r="G50">
        <f t="shared" si="95"/>
        <v>0</v>
      </c>
      <c r="H50">
        <f t="shared" si="95"/>
        <v>0</v>
      </c>
      <c r="I50">
        <f t="shared" si="95"/>
        <v>0</v>
      </c>
      <c r="J50">
        <f t="shared" si="95"/>
        <v>0</v>
      </c>
      <c r="K50">
        <f t="shared" si="95"/>
        <v>0</v>
      </c>
      <c r="L50">
        <f t="shared" si="95"/>
        <v>0</v>
      </c>
      <c r="M50" t="str">
        <f t="shared" si="10"/>
        <v>****</v>
      </c>
      <c r="N50">
        <v>0</v>
      </c>
      <c r="O50">
        <f>N50</f>
        <v>0</v>
      </c>
      <c r="P50">
        <f t="shared" si="89"/>
        <v>0</v>
      </c>
      <c r="Q50">
        <f t="shared" si="89"/>
        <v>0</v>
      </c>
      <c r="R50">
        <f t="shared" si="89"/>
        <v>0</v>
      </c>
      <c r="S50">
        <f t="shared" si="89"/>
        <v>0</v>
      </c>
      <c r="T50">
        <f t="shared" si="89"/>
        <v>0</v>
      </c>
      <c r="U50">
        <f t="shared" si="89"/>
        <v>0</v>
      </c>
      <c r="V50">
        <f t="shared" si="89"/>
        <v>0</v>
      </c>
      <c r="W50">
        <f t="shared" si="89"/>
        <v>0</v>
      </c>
      <c r="X50" t="str">
        <f t="shared" si="12"/>
        <v>****</v>
      </c>
      <c r="Y50">
        <v>0</v>
      </c>
      <c r="Z50">
        <f>Y50</f>
        <v>0</v>
      </c>
      <c r="AA50">
        <f t="shared" ref="AA50:AB50" si="98">Z50</f>
        <v>0</v>
      </c>
      <c r="AB50">
        <f t="shared" si="98"/>
        <v>0</v>
      </c>
      <c r="AC50">
        <f t="shared" si="91"/>
        <v>0</v>
      </c>
      <c r="AD50">
        <f t="shared" si="91"/>
        <v>0</v>
      </c>
      <c r="AE50">
        <f t="shared" si="91"/>
        <v>0</v>
      </c>
      <c r="AF50">
        <f t="shared" si="91"/>
        <v>0</v>
      </c>
      <c r="AG50">
        <f t="shared" si="91"/>
        <v>0</v>
      </c>
      <c r="AH50">
        <f t="shared" si="91"/>
        <v>0</v>
      </c>
      <c r="AI50" t="str">
        <f t="shared" si="14"/>
        <v>****</v>
      </c>
      <c r="AJ50">
        <v>0</v>
      </c>
      <c r="AK50">
        <f>AJ50</f>
        <v>0</v>
      </c>
      <c r="AL50">
        <f t="shared" ref="AL50:AM50" si="99">AK50</f>
        <v>0</v>
      </c>
      <c r="AM50">
        <f t="shared" si="99"/>
        <v>0</v>
      </c>
      <c r="AN50">
        <f t="shared" si="96"/>
        <v>0</v>
      </c>
      <c r="AO50">
        <f t="shared" si="96"/>
        <v>0</v>
      </c>
      <c r="AP50">
        <f t="shared" si="96"/>
        <v>0</v>
      </c>
      <c r="AQ50">
        <f t="shared" si="96"/>
        <v>0</v>
      </c>
      <c r="AR50">
        <f t="shared" si="96"/>
        <v>0</v>
      </c>
      <c r="AS50">
        <f t="shared" si="96"/>
        <v>0</v>
      </c>
    </row>
    <row r="60" spans="1:45" x14ac:dyDescent="0.3">
      <c r="A60" t="s">
        <v>23</v>
      </c>
      <c r="B60" s="12" t="s">
        <v>45</v>
      </c>
      <c r="C60" s="6">
        <v>5.5946876709148151E-3</v>
      </c>
      <c r="D60">
        <v>28.25</v>
      </c>
      <c r="E60">
        <f>D60*C60</f>
        <v>0.15804992670334353</v>
      </c>
      <c r="G60" s="6">
        <v>5.5946876709148151E-3</v>
      </c>
    </row>
    <row r="61" spans="1:45" x14ac:dyDescent="0.3">
      <c r="A61" t="s">
        <v>23</v>
      </c>
      <c r="B61" s="12" t="s">
        <v>46</v>
      </c>
      <c r="C61" s="6">
        <v>9.6121572801839333E-2</v>
      </c>
      <c r="D61">
        <v>27.8</v>
      </c>
      <c r="E61">
        <f t="shared" ref="E61:E65" si="100">D61*C61</f>
        <v>2.6721797238911336</v>
      </c>
      <c r="G61" s="6">
        <v>9.6121572801839333E-2</v>
      </c>
    </row>
    <row r="62" spans="1:45" x14ac:dyDescent="0.3">
      <c r="A62" t="s">
        <v>23</v>
      </c>
      <c r="B62" s="12" t="s">
        <v>48</v>
      </c>
      <c r="C62" s="6">
        <v>0.1995041320448708</v>
      </c>
      <c r="D62">
        <v>26.6</v>
      </c>
      <c r="E62">
        <f t="shared" si="100"/>
        <v>5.3068099123935637</v>
      </c>
      <c r="G62" s="6">
        <v>0.1995041320448708</v>
      </c>
    </row>
    <row r="63" spans="1:45" x14ac:dyDescent="0.3">
      <c r="A63" t="s">
        <v>23</v>
      </c>
      <c r="B63" s="12" t="s">
        <v>49</v>
      </c>
      <c r="C63" s="6">
        <v>9.0340413617939985E-2</v>
      </c>
      <c r="D63">
        <v>26.6</v>
      </c>
      <c r="E63">
        <f t="shared" si="100"/>
        <v>2.4030550022372039</v>
      </c>
      <c r="G63" s="6">
        <v>9.0340413617939985E-2</v>
      </c>
    </row>
    <row r="64" spans="1:45" x14ac:dyDescent="0.3">
      <c r="A64" t="s">
        <v>23</v>
      </c>
      <c r="B64" s="12" t="s">
        <v>50</v>
      </c>
      <c r="C64" s="6">
        <v>0.49741514252744828</v>
      </c>
      <c r="D64">
        <v>24.8</v>
      </c>
      <c r="E64">
        <f t="shared" si="100"/>
        <v>12.335895534680718</v>
      </c>
      <c r="G64" s="6">
        <v>0.49741514252744828</v>
      </c>
    </row>
    <row r="65" spans="1:7" x14ac:dyDescent="0.3">
      <c r="A65" t="s">
        <v>23</v>
      </c>
      <c r="B65" s="12" t="s">
        <v>51</v>
      </c>
      <c r="C65" s="6">
        <v>0.11102405133698666</v>
      </c>
      <c r="D65">
        <v>24.45</v>
      </c>
      <c r="E65">
        <f t="shared" si="100"/>
        <v>2.7145380551893239</v>
      </c>
      <c r="G65" s="6">
        <v>0.11102405133698666</v>
      </c>
    </row>
    <row r="66" spans="1:7" x14ac:dyDescent="0.3">
      <c r="E66">
        <f>SUM(E60:E65)</f>
        <v>25.590528155095285</v>
      </c>
    </row>
    <row r="68" spans="1:7" x14ac:dyDescent="0.3">
      <c r="C68" s="23">
        <v>0.8</v>
      </c>
      <c r="D68">
        <v>22.56</v>
      </c>
      <c r="E68">
        <f>D68*C68</f>
        <v>18.047999999999998</v>
      </c>
    </row>
    <row r="69" spans="1:7" x14ac:dyDescent="0.3">
      <c r="C69" s="23">
        <v>0.2</v>
      </c>
      <c r="D69">
        <v>23.49</v>
      </c>
      <c r="E69">
        <f>D69*C69</f>
        <v>4.6979999999999995</v>
      </c>
    </row>
    <row r="70" spans="1:7" x14ac:dyDescent="0.3">
      <c r="E70">
        <f>SUM(E68:E69)</f>
        <v>22.745999999999999</v>
      </c>
    </row>
    <row r="71" spans="1:7" x14ac:dyDescent="0.3">
      <c r="C71">
        <v>0.8</v>
      </c>
      <c r="D71">
        <v>19.37</v>
      </c>
      <c r="E71">
        <f>D71*C71</f>
        <v>15.496000000000002</v>
      </c>
    </row>
    <row r="72" spans="1:7" x14ac:dyDescent="0.3">
      <c r="C72">
        <v>0.2</v>
      </c>
      <c r="D72">
        <v>20.97</v>
      </c>
      <c r="E72">
        <f>D72*C72</f>
        <v>4.194</v>
      </c>
    </row>
    <row r="73" spans="1:7" x14ac:dyDescent="0.3">
      <c r="E73">
        <f>SUM(E71:E72)</f>
        <v>19.690000000000001</v>
      </c>
    </row>
  </sheetData>
  <autoFilter ref="A3:AS50" xr:uid="{00000000-0009-0000-0000-000005000000}"/>
  <mergeCells count="4">
    <mergeCell ref="C2:L2"/>
    <mergeCell ref="M2:W2"/>
    <mergeCell ref="X2:AH2"/>
    <mergeCell ref="AI2:AS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AA3FF93328543A1AE79A9E57696DE" ma:contentTypeVersion="4" ma:contentTypeDescription="Crée un document." ma:contentTypeScope="" ma:versionID="2736595c0966d018c39556dda498ea8a">
  <xsd:schema xmlns:xsd="http://www.w3.org/2001/XMLSchema" xmlns:xs="http://www.w3.org/2001/XMLSchema" xmlns:p="http://schemas.microsoft.com/office/2006/metadata/properties" xmlns:ns3="cafadebc-5176-4197-beef-7c6682527eea" targetNamespace="http://schemas.microsoft.com/office/2006/metadata/properties" ma:root="true" ma:fieldsID="fbe6d072d4ab819190d46d1474c4e3c3" ns3:_="">
    <xsd:import namespace="cafadebc-5176-4197-beef-7c6682527e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adebc-5176-4197-beef-7c6682527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6E8991-F5CD-4279-A6FD-CEA5B1BB8D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9E3B14-381C-4C39-9BAD-E894341A259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afadebc-5176-4197-beef-7c6682527eea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8FB0E0-D020-46F1-8DB6-3AB55F04C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adebc-5176-4197-beef-7c6682527e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10</vt:i4>
      </vt:variant>
    </vt:vector>
  </HeadingPairs>
  <TitlesOfParts>
    <vt:vector size="18" baseType="lpstr">
      <vt:lpstr>Ventilation</vt:lpstr>
      <vt:lpstr>Data base UO Presse par t</vt:lpstr>
      <vt:lpstr>UKAD Pgm</vt:lpstr>
      <vt:lpstr>Rates</vt:lpstr>
      <vt:lpstr>Scénario 1</vt:lpstr>
      <vt:lpstr>Scénario 2</vt:lpstr>
      <vt:lpstr>Scénario 3</vt:lpstr>
      <vt:lpstr>Tables Prix</vt:lpstr>
      <vt:lpstr>impactairbus</vt:lpstr>
      <vt:lpstr>impactautres</vt:lpstr>
      <vt:lpstr>impactmoteurs</vt:lpstr>
      <vt:lpstr>impactPL</vt:lpstr>
      <vt:lpstr>parite</vt:lpstr>
      <vt:lpstr>pxdpeco</vt:lpstr>
      <vt:lpstr>pxdpuk</vt:lpstr>
      <vt:lpstr>pxlgteco</vt:lpstr>
      <vt:lpstr>pxlgtuk</vt:lpstr>
      <vt:lpstr>TpsRef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Delaborde</dc:creator>
  <cp:lastModifiedBy>PROIX Nicolas</cp:lastModifiedBy>
  <cp:lastPrinted>2018-06-15T07:01:21Z</cp:lastPrinted>
  <dcterms:created xsi:type="dcterms:W3CDTF">2017-06-03T07:20:32Z</dcterms:created>
  <dcterms:modified xsi:type="dcterms:W3CDTF">2020-07-07T11:43:00Z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0x0101001D9AA3FF93328543A1AE79A9E57696DE</vt:lpwstr>
  </property>
</Properties>
</file>