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9315" windowHeight="9270"/>
  </bookViews>
  <sheets>
    <sheet name="Exemples" sheetId="21" r:id="rId1"/>
    <sheet name="Feuil1" sheetId="22" r:id="rId2"/>
  </sheets>
  <definedNames>
    <definedName name="capital" localSheetId="0">#REF!</definedName>
    <definedName name="capital">#REF!</definedName>
    <definedName name="cible" localSheetId="0">#REF!</definedName>
    <definedName name="cible">#REF!</definedName>
    <definedName name="coeff" localSheetId="0">#REF!</definedName>
    <definedName name="coeff">#REF!</definedName>
    <definedName name="MIP" localSheetId="0">#REF!</definedName>
    <definedName name="MIP">#REF!</definedName>
    <definedName name="nje" localSheetId="0">Exemples!$C$59</definedName>
    <definedName name="nje">#REF!</definedName>
    <definedName name="NJP" localSheetId="0">Exemples!$C$60</definedName>
    <definedName name="NJP">#REF!</definedName>
    <definedName name="TRIinv" localSheetId="0">Exemples!$E$104</definedName>
    <definedName name="TRIinv">#REF!</definedName>
    <definedName name="_xlnm.Print_Area" localSheetId="0">Exemples!$A$4:$H$115</definedName>
  </definedNames>
  <calcPr calcId="145621"/>
</workbook>
</file>

<file path=xl/calcChain.xml><?xml version="1.0" encoding="utf-8"?>
<calcChain xmlns="http://schemas.openxmlformats.org/spreadsheetml/2006/main">
  <c r="C106" i="21" l="1"/>
  <c r="E104" i="21"/>
  <c r="G99" i="21" s="1"/>
  <c r="F96" i="21" l="1"/>
  <c r="G92" i="21"/>
  <c r="G96" i="21"/>
  <c r="G100" i="21"/>
  <c r="F93" i="21"/>
  <c r="F97" i="21"/>
  <c r="G93" i="21"/>
  <c r="G97" i="21"/>
  <c r="F92" i="21"/>
  <c r="F98" i="21"/>
  <c r="F94" i="21"/>
  <c r="G94" i="21"/>
  <c r="G98" i="21"/>
  <c r="F95" i="21"/>
  <c r="F99" i="21"/>
  <c r="G95" i="21"/>
  <c r="D101" i="21" l="1"/>
  <c r="C101" i="21"/>
  <c r="C77" i="21"/>
  <c r="C76" i="21"/>
  <c r="C74" i="21"/>
  <c r="C73" i="21"/>
  <c r="C56" i="21"/>
  <c r="D53" i="21"/>
  <c r="C53" i="21"/>
  <c r="C83" i="21" s="1"/>
  <c r="C33" i="21"/>
  <c r="C34" i="21" s="1"/>
  <c r="C21" i="21"/>
  <c r="E12" i="21" s="1"/>
  <c r="D18" i="21"/>
  <c r="C18" i="21"/>
  <c r="E98" i="21" l="1"/>
  <c r="E94" i="21"/>
  <c r="E97" i="21"/>
  <c r="E100" i="21"/>
  <c r="E96" i="21"/>
  <c r="E92" i="21"/>
  <c r="E99" i="21"/>
  <c r="E95" i="21"/>
  <c r="E93" i="21"/>
  <c r="C38" i="21"/>
  <c r="C39" i="21" s="1"/>
  <c r="C60" i="21"/>
  <c r="E52" i="21"/>
  <c r="E48" i="21"/>
  <c r="E44" i="21"/>
  <c r="E51" i="21"/>
  <c r="E47" i="21"/>
  <c r="E50" i="21"/>
  <c r="E46" i="21"/>
  <c r="C59" i="21"/>
  <c r="E49" i="21"/>
  <c r="E45" i="21"/>
  <c r="E16" i="21"/>
  <c r="C80" i="21"/>
  <c r="C81" i="21"/>
  <c r="E9" i="21"/>
  <c r="E13" i="21"/>
  <c r="E17" i="21"/>
  <c r="E10" i="21"/>
  <c r="E14" i="21"/>
  <c r="E11" i="21"/>
  <c r="E15" i="21"/>
  <c r="C84" i="21" l="1"/>
  <c r="C86" i="21" s="1"/>
  <c r="C82" i="21"/>
  <c r="F100" i="21"/>
  <c r="C109" i="21" l="1"/>
  <c r="C105" i="21"/>
  <c r="C107" i="21" s="1"/>
  <c r="C111" i="21" l="1"/>
  <c r="C113" i="21" s="1"/>
</calcChain>
</file>

<file path=xl/sharedStrings.xml><?xml version="1.0" encoding="utf-8"?>
<sst xmlns="http://schemas.openxmlformats.org/spreadsheetml/2006/main" count="62" uniqueCount="47">
  <si>
    <t>K</t>
  </si>
  <si>
    <t>Fmarge</t>
  </si>
  <si>
    <t>MIP</t>
  </si>
  <si>
    <t>Fvolume2</t>
  </si>
  <si>
    <t>V2</t>
  </si>
  <si>
    <t>Date d'exercice de l'Option</t>
  </si>
  <si>
    <t>NJP</t>
  </si>
  <si>
    <t>I- exemple 1</t>
  </si>
  <si>
    <t>Date</t>
  </si>
  <si>
    <t>CFPi (En M€)</t>
  </si>
  <si>
    <t>i (en jours)</t>
  </si>
  <si>
    <t>Total</t>
  </si>
  <si>
    <t>Date Signature du Pacte</t>
  </si>
  <si>
    <t>Date de paiement de l'Option</t>
  </si>
  <si>
    <t>Volumes Ecotitanium exercice clos au 31/12/2021</t>
  </si>
  <si>
    <t>Volumes Ecotitanium exercice clos au 31/12/2022</t>
  </si>
  <si>
    <t>Volumes Ecotitanium à la date d'exercice</t>
  </si>
  <si>
    <t>Fvolume1</t>
  </si>
  <si>
    <t>V1</t>
  </si>
  <si>
    <t>V1 en €</t>
  </si>
  <si>
    <t>II- Exemple 2</t>
  </si>
  <si>
    <t>Nombre de jours entre Signature du Pacte et Paiement de l'Option</t>
  </si>
  <si>
    <t>Volumes UKAD exercice clos au 31/12/2021</t>
  </si>
  <si>
    <t>Volumes UKAD exercice clos au 31/12/2022</t>
  </si>
  <si>
    <t>EBITDA Ecotitanium exercice clos au 31/12/2021</t>
  </si>
  <si>
    <t>EBITDA Ecotitanium exercice clos au 31/12/2022</t>
  </si>
  <si>
    <t>EBITDA UKAD exercice clos au 31/12/2021</t>
  </si>
  <si>
    <t>EBITDA UKAD exercice clos au 31/12/2022</t>
  </si>
  <si>
    <t>Volumes Ecotitanium à la date d'exercice de l'Option</t>
  </si>
  <si>
    <t>Volumes UKAD à la date d'exercice de l'Option</t>
  </si>
  <si>
    <t>EBITDA Ecotitanium à la date d'exercice de l'Option</t>
  </si>
  <si>
    <t>EBITDA UKAD à la date d'exercice de l'Option</t>
  </si>
  <si>
    <t>Vex</t>
  </si>
  <si>
    <t>CFPi actualisés</t>
  </si>
  <si>
    <t>CFNi actualisés</t>
  </si>
  <si>
    <t>TRI investisseur</t>
  </si>
  <si>
    <t>Somme CFPI actualisés</t>
  </si>
  <si>
    <t>Vex actualisée</t>
  </si>
  <si>
    <t>Check</t>
  </si>
  <si>
    <t>Somme CFNI actualisés</t>
  </si>
  <si>
    <t>V2 en €</t>
  </si>
  <si>
    <t>Nombre de jours entre Signature du Pacte et l'exercice de l'Option.</t>
  </si>
  <si>
    <t>Vmax Exercice</t>
  </si>
  <si>
    <t>Calcul</t>
  </si>
  <si>
    <t>Arrondi</t>
  </si>
  <si>
    <t>CFNi (En M€)</t>
  </si>
  <si>
    <t>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</si>
</sst>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164" formatCode="0.0000"/>
    <numFmt numFmtId="165" formatCode="#,##0&quot; tonnes&quot;"/>
    <numFmt numFmtId="166" formatCode="#,##0.000"/>
    <numFmt numFmtId="167" formatCode="0.00&quot; M€&quot;"/>
    <numFmt numFmtId="168" formatCode="0.0000000&quot; M€&quot;"/>
    <numFmt numFmtId="169" formatCode="0.000"/>
    <numFmt numFmtId="170" formatCode="0.000000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3" fillId="3" borderId="0" xfId="1" applyFont="1" applyFill="1"/>
    <xf numFmtId="1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14" fontId="3" fillId="3" borderId="3" xfId="1" applyNumberFormat="1" applyFont="1" applyFill="1" applyBorder="1" applyAlignment="1">
      <alignment horizontal="center"/>
    </xf>
    <xf numFmtId="2" fontId="3" fillId="3" borderId="3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14" fontId="3" fillId="3" borderId="0" xfId="1" applyNumberFormat="1" applyFont="1" applyFill="1"/>
    <xf numFmtId="3" fontId="3" fillId="3" borderId="3" xfId="1" applyNumberFormat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2" fontId="3" fillId="3" borderId="4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0" fontId="3" fillId="4" borderId="1" xfId="1" applyFont="1" applyFill="1" applyBorder="1"/>
    <xf numFmtId="14" fontId="3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4" fontId="3" fillId="3" borderId="6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3" fontId="3" fillId="3" borderId="0" xfId="1" applyNumberFormat="1" applyFont="1" applyFill="1"/>
    <xf numFmtId="167" fontId="3" fillId="3" borderId="1" xfId="1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4" fontId="3" fillId="5" borderId="2" xfId="1" applyNumberFormat="1" applyFont="1" applyFill="1" applyBorder="1" applyAlignment="1">
      <alignment horizontal="center"/>
    </xf>
    <xf numFmtId="6" fontId="3" fillId="3" borderId="1" xfId="1" applyNumberFormat="1" applyFont="1" applyFill="1" applyBorder="1" applyAlignment="1">
      <alignment horizontal="center"/>
    </xf>
    <xf numFmtId="6" fontId="3" fillId="3" borderId="6" xfId="1" applyNumberFormat="1" applyFont="1" applyFill="1" applyBorder="1" applyAlignment="1">
      <alignment horizontal="center"/>
    </xf>
    <xf numFmtId="6" fontId="3" fillId="3" borderId="0" xfId="1" applyNumberFormat="1" applyFont="1" applyFill="1"/>
    <xf numFmtId="0" fontId="3" fillId="3" borderId="0" xfId="1" applyFont="1" applyFill="1" applyBorder="1"/>
    <xf numFmtId="164" fontId="3" fillId="3" borderId="2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3" fontId="3" fillId="3" borderId="0" xfId="1" applyNumberFormat="1" applyFont="1" applyFill="1" applyBorder="1"/>
    <xf numFmtId="0" fontId="3" fillId="3" borderId="6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64" fontId="3" fillId="3" borderId="0" xfId="1" applyNumberFormat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/>
    </xf>
    <xf numFmtId="4" fontId="3" fillId="3" borderId="0" xfId="1" applyNumberFormat="1" applyFont="1" applyFill="1" applyBorder="1"/>
    <xf numFmtId="0" fontId="3" fillId="3" borderId="1" xfId="1" applyFont="1" applyFill="1" applyBorder="1"/>
    <xf numFmtId="169" fontId="3" fillId="3" borderId="5" xfId="1" applyNumberFormat="1" applyFont="1" applyFill="1" applyBorder="1"/>
    <xf numFmtId="169" fontId="3" fillId="3" borderId="3" xfId="1" applyNumberFormat="1" applyFont="1" applyFill="1" applyBorder="1"/>
    <xf numFmtId="169" fontId="3" fillId="3" borderId="6" xfId="1" applyNumberFormat="1" applyFont="1" applyFill="1" applyBorder="1"/>
    <xf numFmtId="169" fontId="3" fillId="3" borderId="0" xfId="1" applyNumberFormat="1" applyFont="1" applyFill="1" applyAlignment="1">
      <alignment horizontal="center"/>
    </xf>
    <xf numFmtId="169" fontId="3" fillId="3" borderId="0" xfId="1" applyNumberFormat="1" applyFont="1" applyFill="1"/>
    <xf numFmtId="0" fontId="3" fillId="7" borderId="0" xfId="1" applyFont="1" applyFill="1"/>
    <xf numFmtId="0" fontId="3" fillId="7" borderId="7" xfId="1" applyFont="1" applyFill="1" applyBorder="1"/>
    <xf numFmtId="3" fontId="3" fillId="7" borderId="1" xfId="1" applyNumberFormat="1" applyFont="1" applyFill="1" applyBorder="1" applyAlignment="1">
      <alignment horizontal="center"/>
    </xf>
    <xf numFmtId="0" fontId="3" fillId="8" borderId="0" xfId="1" applyFont="1" applyFill="1"/>
    <xf numFmtId="0" fontId="3" fillId="8" borderId="7" xfId="1" applyFont="1" applyFill="1" applyBorder="1"/>
    <xf numFmtId="3" fontId="3" fillId="8" borderId="1" xfId="1" applyNumberFormat="1" applyFont="1" applyFill="1" applyBorder="1" applyAlignment="1">
      <alignment horizontal="center"/>
    </xf>
    <xf numFmtId="10" fontId="3" fillId="9" borderId="0" xfId="1" applyNumberFormat="1" applyFont="1" applyFill="1"/>
    <xf numFmtId="164" fontId="3" fillId="3" borderId="0" xfId="1" applyNumberFormat="1" applyFont="1" applyFill="1"/>
    <xf numFmtId="164" fontId="3" fillId="3" borderId="0" xfId="1" applyNumberFormat="1" applyFont="1" applyFill="1" applyAlignment="1">
      <alignment horizontal="center"/>
    </xf>
    <xf numFmtId="164" fontId="3" fillId="6" borderId="1" xfId="2" applyNumberFormat="1" applyFont="1" applyFill="1" applyBorder="1" applyAlignment="1">
      <alignment horizontal="center"/>
    </xf>
    <xf numFmtId="170" fontId="3" fillId="6" borderId="1" xfId="2" applyNumberFormat="1" applyFont="1" applyFill="1" applyBorder="1" applyAlignment="1">
      <alignment horizontal="center"/>
    </xf>
    <xf numFmtId="4" fontId="3" fillId="3" borderId="0" xfId="1" applyNumberFormat="1" applyFont="1" applyFill="1"/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118"/>
  <sheetViews>
    <sheetView tabSelected="1" topLeftCell="A105" workbookViewId="0">
      <selection activeCell="C118" sqref="C118"/>
    </sheetView>
  </sheetViews>
  <sheetFormatPr baseColWidth="10" defaultRowHeight="12.75" x14ac:dyDescent="0.2"/>
  <cols>
    <col min="1" max="1" width="11.42578125" style="2"/>
    <col min="2" max="2" width="57.7109375" style="2" bestFit="1" customWidth="1"/>
    <col min="3" max="3" width="23.5703125" style="2" bestFit="1" customWidth="1"/>
    <col min="4" max="4" width="13" style="2" bestFit="1" customWidth="1"/>
    <col min="5" max="5" width="11.42578125" style="2"/>
    <col min="6" max="6" width="13.140625" style="2" bestFit="1" customWidth="1"/>
    <col min="7" max="7" width="14.28515625" style="2" bestFit="1" customWidth="1"/>
    <col min="8" max="16384" width="11.42578125" style="2"/>
  </cols>
  <sheetData>
    <row r="6" spans="2:16" x14ac:dyDescent="0.2">
      <c r="B6" s="1" t="s">
        <v>7</v>
      </c>
      <c r="C6" s="1"/>
      <c r="D6" s="1"/>
      <c r="E6" s="1"/>
    </row>
    <row r="7" spans="2:16" ht="13.5" thickBot="1" x14ac:dyDescent="0.25"/>
    <row r="8" spans="2:16" ht="13.5" thickBot="1" x14ac:dyDescent="0.25">
      <c r="B8" s="3" t="s">
        <v>8</v>
      </c>
      <c r="C8" s="4" t="s">
        <v>9</v>
      </c>
      <c r="D8" s="5" t="s">
        <v>45</v>
      </c>
      <c r="E8" s="4" t="s">
        <v>10</v>
      </c>
    </row>
    <row r="9" spans="2:16" x14ac:dyDescent="0.2">
      <c r="B9" s="6">
        <v>41791</v>
      </c>
      <c r="C9" s="7">
        <v>2.375</v>
      </c>
      <c r="D9" s="8">
        <v>0</v>
      </c>
      <c r="E9" s="9">
        <f>B9-$C$21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x14ac:dyDescent="0.2">
      <c r="B10" s="6">
        <v>42156</v>
      </c>
      <c r="C10" s="7">
        <v>2.375</v>
      </c>
      <c r="D10" s="8">
        <v>0</v>
      </c>
      <c r="E10" s="11">
        <f t="shared" ref="E10:E17" si="0">B10-$C$21</f>
        <v>365</v>
      </c>
    </row>
    <row r="11" spans="2:16" x14ac:dyDescent="0.2">
      <c r="B11" s="6">
        <v>42370</v>
      </c>
      <c r="C11" s="7">
        <v>4.75</v>
      </c>
      <c r="D11" s="8">
        <v>0</v>
      </c>
      <c r="E11" s="11">
        <f t="shared" si="0"/>
        <v>579</v>
      </c>
    </row>
    <row r="12" spans="2:16" x14ac:dyDescent="0.2">
      <c r="B12" s="6">
        <v>43252</v>
      </c>
      <c r="C12" s="7">
        <v>4.5</v>
      </c>
      <c r="D12" s="8">
        <v>0</v>
      </c>
      <c r="E12" s="11">
        <f t="shared" si="0"/>
        <v>1461</v>
      </c>
    </row>
    <row r="13" spans="2:16" x14ac:dyDescent="0.2">
      <c r="B13" s="6">
        <v>43831</v>
      </c>
      <c r="C13" s="12">
        <v>0</v>
      </c>
      <c r="D13" s="13">
        <v>0.4</v>
      </c>
      <c r="E13" s="11">
        <f t="shared" si="0"/>
        <v>2040</v>
      </c>
    </row>
    <row r="14" spans="2:16" x14ac:dyDescent="0.2">
      <c r="B14" s="6">
        <v>44197</v>
      </c>
      <c r="C14" s="12">
        <v>0</v>
      </c>
      <c r="D14" s="13">
        <v>0.6</v>
      </c>
      <c r="E14" s="11">
        <f t="shared" si="0"/>
        <v>2406</v>
      </c>
    </row>
    <row r="15" spans="2:16" x14ac:dyDescent="0.2">
      <c r="B15" s="6">
        <v>44562</v>
      </c>
      <c r="C15" s="12">
        <v>0</v>
      </c>
      <c r="D15" s="13">
        <v>1</v>
      </c>
      <c r="E15" s="11">
        <f t="shared" si="0"/>
        <v>2771</v>
      </c>
    </row>
    <row r="16" spans="2:16" x14ac:dyDescent="0.2">
      <c r="B16" s="6">
        <v>44927</v>
      </c>
      <c r="C16" s="12">
        <v>0</v>
      </c>
      <c r="D16" s="13">
        <v>1</v>
      </c>
      <c r="E16" s="11">
        <f t="shared" si="0"/>
        <v>3136</v>
      </c>
    </row>
    <row r="17" spans="2:5" ht="13.5" thickBot="1" x14ac:dyDescent="0.25">
      <c r="B17" s="6">
        <v>45292</v>
      </c>
      <c r="C17" s="12">
        <v>0</v>
      </c>
      <c r="D17" s="8">
        <v>0.5</v>
      </c>
      <c r="E17" s="14">
        <f t="shared" si="0"/>
        <v>3501</v>
      </c>
    </row>
    <row r="18" spans="2:5" ht="13.5" thickBot="1" x14ac:dyDescent="0.25">
      <c r="B18" s="3" t="s">
        <v>11</v>
      </c>
      <c r="C18" s="15">
        <f>SUM(C9:C17)</f>
        <v>14</v>
      </c>
      <c r="D18" s="16">
        <f>SUM(D9:D17)</f>
        <v>3.5</v>
      </c>
      <c r="E18" s="17"/>
    </row>
    <row r="19" spans="2:5" x14ac:dyDescent="0.2">
      <c r="B19" s="10"/>
    </row>
    <row r="20" spans="2:5" ht="13.5" thickBot="1" x14ac:dyDescent="0.25"/>
    <row r="21" spans="2:5" ht="13.5" thickBot="1" x14ac:dyDescent="0.25">
      <c r="B21" s="4" t="s">
        <v>12</v>
      </c>
      <c r="C21" s="18">
        <f>B9</f>
        <v>41791</v>
      </c>
    </row>
    <row r="22" spans="2:5" ht="13.5" thickBot="1" x14ac:dyDescent="0.25">
      <c r="B22" s="19" t="s">
        <v>5</v>
      </c>
      <c r="C22" s="3">
        <v>45078</v>
      </c>
    </row>
    <row r="23" spans="2:5" ht="13.5" thickBot="1" x14ac:dyDescent="0.25">
      <c r="B23" s="20" t="s">
        <v>13</v>
      </c>
      <c r="C23" s="21">
        <v>45444</v>
      </c>
    </row>
    <row r="26" spans="2:5" ht="13.5" thickBot="1" x14ac:dyDescent="0.25"/>
    <row r="27" spans="2:5" ht="13.5" thickBot="1" x14ac:dyDescent="0.25">
      <c r="B27" s="19" t="s">
        <v>14</v>
      </c>
      <c r="C27" s="22">
        <v>1050</v>
      </c>
    </row>
    <row r="28" spans="2:5" ht="13.5" thickBot="1" x14ac:dyDescent="0.25">
      <c r="B28" s="20" t="s">
        <v>15</v>
      </c>
      <c r="C28" s="23">
        <v>1300</v>
      </c>
    </row>
    <row r="32" spans="2:5" ht="13.5" thickBot="1" x14ac:dyDescent="0.25"/>
    <row r="33" spans="2:5" ht="13.5" thickBot="1" x14ac:dyDescent="0.25">
      <c r="B33" s="4" t="s">
        <v>16</v>
      </c>
      <c r="C33" s="22">
        <f>(C28+C27)/2</f>
        <v>1175</v>
      </c>
    </row>
    <row r="34" spans="2:5" ht="13.5" thickBot="1" x14ac:dyDescent="0.25">
      <c r="B34" s="4" t="s">
        <v>17</v>
      </c>
      <c r="C34" s="24">
        <f>C33/1530</f>
        <v>0.76797385620915037</v>
      </c>
    </row>
    <row r="36" spans="2:5" x14ac:dyDescent="0.2">
      <c r="C36" s="25"/>
    </row>
    <row r="37" spans="2:5" ht="13.5" thickBot="1" x14ac:dyDescent="0.25"/>
    <row r="38" spans="2:5" ht="13.5" thickBot="1" x14ac:dyDescent="0.25">
      <c r="B38" s="4" t="s">
        <v>18</v>
      </c>
      <c r="C38" s="26">
        <f>(C18/2)+C34*(C18/2)-D18</f>
        <v>8.8758169934640527</v>
      </c>
    </row>
    <row r="39" spans="2:5" ht="13.5" thickBot="1" x14ac:dyDescent="0.25">
      <c r="B39" s="27" t="s">
        <v>19</v>
      </c>
      <c r="C39" s="28">
        <f>C38*1000*1000</f>
        <v>8875816.9934640527</v>
      </c>
    </row>
    <row r="41" spans="2:5" x14ac:dyDescent="0.2">
      <c r="B41" s="1" t="s">
        <v>20</v>
      </c>
      <c r="C41" s="1"/>
      <c r="D41" s="1"/>
      <c r="E41" s="1"/>
    </row>
    <row r="42" spans="2:5" ht="13.5" thickBot="1" x14ac:dyDescent="0.25"/>
    <row r="43" spans="2:5" ht="13.5" thickBot="1" x14ac:dyDescent="0.25">
      <c r="B43" s="3" t="s">
        <v>8</v>
      </c>
      <c r="C43" s="4" t="s">
        <v>9</v>
      </c>
      <c r="D43" s="5" t="s">
        <v>45</v>
      </c>
      <c r="E43" s="4" t="s">
        <v>10</v>
      </c>
    </row>
    <row r="44" spans="2:5" x14ac:dyDescent="0.2">
      <c r="B44" s="6">
        <v>41791</v>
      </c>
      <c r="C44" s="7">
        <v>2.375</v>
      </c>
      <c r="D44" s="8">
        <v>0</v>
      </c>
      <c r="E44" s="9">
        <f>B44-C56</f>
        <v>0</v>
      </c>
    </row>
    <row r="45" spans="2:5" x14ac:dyDescent="0.2">
      <c r="B45" s="6">
        <v>42156</v>
      </c>
      <c r="C45" s="7">
        <v>2.375</v>
      </c>
      <c r="D45" s="8">
        <v>0</v>
      </c>
      <c r="E45" s="11">
        <f>B45-C56</f>
        <v>365</v>
      </c>
    </row>
    <row r="46" spans="2:5" x14ac:dyDescent="0.2">
      <c r="B46" s="6">
        <v>42370</v>
      </c>
      <c r="C46" s="7">
        <v>4.75</v>
      </c>
      <c r="D46" s="8">
        <v>0</v>
      </c>
      <c r="E46" s="11">
        <f>B46-C56</f>
        <v>579</v>
      </c>
    </row>
    <row r="47" spans="2:5" x14ac:dyDescent="0.2">
      <c r="B47" s="6">
        <v>43252</v>
      </c>
      <c r="C47" s="7">
        <v>4.5</v>
      </c>
      <c r="D47" s="8">
        <v>0</v>
      </c>
      <c r="E47" s="11">
        <f>B47-C56</f>
        <v>1461</v>
      </c>
    </row>
    <row r="48" spans="2:5" x14ac:dyDescent="0.2">
      <c r="B48" s="6">
        <v>43831</v>
      </c>
      <c r="C48" s="12">
        <v>0</v>
      </c>
      <c r="D48" s="13">
        <v>0.4</v>
      </c>
      <c r="E48" s="11">
        <f>B48-C56</f>
        <v>2040</v>
      </c>
    </row>
    <row r="49" spans="1:5" x14ac:dyDescent="0.2">
      <c r="B49" s="6">
        <v>44197</v>
      </c>
      <c r="C49" s="12">
        <v>0</v>
      </c>
      <c r="D49" s="13">
        <v>0.6</v>
      </c>
      <c r="E49" s="11">
        <f>B49-C56</f>
        <v>2406</v>
      </c>
    </row>
    <row r="50" spans="1:5" x14ac:dyDescent="0.2">
      <c r="B50" s="6">
        <v>44562</v>
      </c>
      <c r="C50" s="12">
        <v>0</v>
      </c>
      <c r="D50" s="13">
        <v>1</v>
      </c>
      <c r="E50" s="11">
        <f>B50-C56</f>
        <v>2771</v>
      </c>
    </row>
    <row r="51" spans="1:5" x14ac:dyDescent="0.2">
      <c r="B51" s="6">
        <v>44927</v>
      </c>
      <c r="C51" s="12">
        <v>0</v>
      </c>
      <c r="D51" s="13">
        <v>1</v>
      </c>
      <c r="E51" s="11">
        <f>B51-C56</f>
        <v>3136</v>
      </c>
    </row>
    <row r="52" spans="1:5" ht="13.5" thickBot="1" x14ac:dyDescent="0.25">
      <c r="B52" s="6">
        <v>45292</v>
      </c>
      <c r="C52" s="12">
        <v>0</v>
      </c>
      <c r="D52" s="8">
        <v>0.5</v>
      </c>
      <c r="E52" s="14">
        <f>B52-C56</f>
        <v>3501</v>
      </c>
    </row>
    <row r="53" spans="1:5" ht="13.5" thickBot="1" x14ac:dyDescent="0.25">
      <c r="B53" s="3" t="s">
        <v>11</v>
      </c>
      <c r="C53" s="15">
        <f>SUM(C44:C52)</f>
        <v>14</v>
      </c>
      <c r="D53" s="16">
        <f>SUM(D44:D52)</f>
        <v>3.5</v>
      </c>
      <c r="E53" s="17"/>
    </row>
    <row r="54" spans="1:5" x14ac:dyDescent="0.2">
      <c r="B54" s="10"/>
    </row>
    <row r="55" spans="1:5" ht="13.5" thickBot="1" x14ac:dyDescent="0.25"/>
    <row r="56" spans="1:5" ht="13.5" thickBot="1" x14ac:dyDescent="0.25">
      <c r="B56" s="4" t="s">
        <v>12</v>
      </c>
      <c r="C56" s="18">
        <f>B44</f>
        <v>41791</v>
      </c>
    </row>
    <row r="57" spans="1:5" ht="13.5" thickBot="1" x14ac:dyDescent="0.25">
      <c r="B57" s="19" t="s">
        <v>5</v>
      </c>
      <c r="C57" s="3">
        <v>45078</v>
      </c>
    </row>
    <row r="58" spans="1:5" ht="13.5" thickBot="1" x14ac:dyDescent="0.25">
      <c r="B58" s="20" t="s">
        <v>13</v>
      </c>
      <c r="C58" s="21">
        <v>45444</v>
      </c>
    </row>
    <row r="59" spans="1:5" ht="13.5" thickBot="1" x14ac:dyDescent="0.25">
      <c r="A59" s="51" t="s">
        <v>46</v>
      </c>
      <c r="B59" s="52" t="s">
        <v>41</v>
      </c>
      <c r="C59" s="53">
        <f>C57-C56</f>
        <v>3287</v>
      </c>
    </row>
    <row r="60" spans="1:5" ht="13.5" thickBot="1" x14ac:dyDescent="0.25">
      <c r="A60" s="48" t="s">
        <v>6</v>
      </c>
      <c r="B60" s="49" t="s">
        <v>21</v>
      </c>
      <c r="C60" s="50">
        <f>C58-C56</f>
        <v>3653</v>
      </c>
    </row>
    <row r="62" spans="1:5" ht="13.5" thickBot="1" x14ac:dyDescent="0.25"/>
    <row r="63" spans="1:5" ht="13.5" thickBot="1" x14ac:dyDescent="0.25">
      <c r="B63" s="19" t="s">
        <v>14</v>
      </c>
      <c r="C63" s="22">
        <v>3500</v>
      </c>
    </row>
    <row r="64" spans="1:5" ht="13.5" thickBot="1" x14ac:dyDescent="0.25">
      <c r="B64" s="20" t="s">
        <v>15</v>
      </c>
      <c r="C64" s="23">
        <v>4000</v>
      </c>
    </row>
    <row r="65" spans="2:4" ht="13.5" thickBot="1" x14ac:dyDescent="0.25">
      <c r="B65" s="19" t="s">
        <v>22</v>
      </c>
      <c r="C65" s="22">
        <v>12500</v>
      </c>
    </row>
    <row r="66" spans="2:4" ht="13.5" thickBot="1" x14ac:dyDescent="0.25">
      <c r="B66" s="20" t="s">
        <v>23</v>
      </c>
      <c r="C66" s="23">
        <v>14000</v>
      </c>
    </row>
    <row r="67" spans="2:4" ht="13.5" thickBot="1" x14ac:dyDescent="0.25"/>
    <row r="68" spans="2:4" ht="13.5" thickBot="1" x14ac:dyDescent="0.25">
      <c r="B68" s="19" t="s">
        <v>24</v>
      </c>
      <c r="C68" s="29">
        <v>7200000</v>
      </c>
    </row>
    <row r="69" spans="2:4" ht="13.5" thickBot="1" x14ac:dyDescent="0.25">
      <c r="B69" s="20" t="s">
        <v>25</v>
      </c>
      <c r="C69" s="29">
        <v>8000000</v>
      </c>
    </row>
    <row r="70" spans="2:4" ht="13.5" thickBot="1" x14ac:dyDescent="0.25">
      <c r="B70" s="19" t="s">
        <v>26</v>
      </c>
      <c r="C70" s="29">
        <v>32000000</v>
      </c>
    </row>
    <row r="71" spans="2:4" ht="13.5" thickBot="1" x14ac:dyDescent="0.25">
      <c r="B71" s="20" t="s">
        <v>27</v>
      </c>
      <c r="C71" s="30">
        <v>35000000</v>
      </c>
    </row>
    <row r="72" spans="2:4" ht="13.5" thickBot="1" x14ac:dyDescent="0.25">
      <c r="C72" s="31"/>
    </row>
    <row r="73" spans="2:4" ht="13.5" thickBot="1" x14ac:dyDescent="0.25">
      <c r="B73" s="19" t="s">
        <v>28</v>
      </c>
      <c r="C73" s="22">
        <f>(C63+C64)/2</f>
        <v>3750</v>
      </c>
    </row>
    <row r="74" spans="2:4" ht="13.5" thickBot="1" x14ac:dyDescent="0.25">
      <c r="B74" s="19" t="s">
        <v>29</v>
      </c>
      <c r="C74" s="22">
        <f>(C65+C66)/2</f>
        <v>13250</v>
      </c>
    </row>
    <row r="75" spans="2:4" ht="13.5" thickBot="1" x14ac:dyDescent="0.25"/>
    <row r="76" spans="2:4" ht="13.5" thickBot="1" x14ac:dyDescent="0.25">
      <c r="B76" s="19" t="s">
        <v>30</v>
      </c>
      <c r="C76" s="29">
        <f>(C68+C69)/2</f>
        <v>7600000</v>
      </c>
      <c r="D76" s="32"/>
    </row>
    <row r="77" spans="2:4" ht="13.5" thickBot="1" x14ac:dyDescent="0.25">
      <c r="B77" s="19" t="s">
        <v>31</v>
      </c>
      <c r="C77" s="29">
        <f>(C70+C71)/2</f>
        <v>33500000</v>
      </c>
      <c r="D77" s="32"/>
    </row>
    <row r="78" spans="2:4" x14ac:dyDescent="0.2">
      <c r="B78" s="32"/>
      <c r="C78" s="32"/>
      <c r="D78" s="32"/>
    </row>
    <row r="79" spans="2:4" ht="13.5" thickBot="1" x14ac:dyDescent="0.25">
      <c r="B79" s="32"/>
      <c r="C79" s="32"/>
      <c r="D79" s="32"/>
    </row>
    <row r="80" spans="2:4" ht="13.5" thickBot="1" x14ac:dyDescent="0.25">
      <c r="B80" s="4" t="s">
        <v>3</v>
      </c>
      <c r="C80" s="33">
        <f>(2/3)*((C73-1530)/(4000-1530))+(1/3)*((C74-1530)/(14000-1530))</f>
        <v>0.91247550125699783</v>
      </c>
      <c r="D80" s="34"/>
    </row>
    <row r="81" spans="2:7" ht="13.5" thickBot="1" x14ac:dyDescent="0.25">
      <c r="B81" s="4" t="s">
        <v>1</v>
      </c>
      <c r="C81" s="33">
        <f>(C76+C77)/50100000</f>
        <v>0.82035928143712578</v>
      </c>
      <c r="D81" s="35"/>
    </row>
    <row r="82" spans="2:7" ht="13.5" thickBot="1" x14ac:dyDescent="0.25">
      <c r="B82" s="4" t="s">
        <v>0</v>
      </c>
      <c r="C82" s="33">
        <f>MIN(1,C81*C80)</f>
        <v>0.74855774654017193</v>
      </c>
      <c r="D82" s="32"/>
    </row>
    <row r="83" spans="2:7" ht="13.5" thickBot="1" x14ac:dyDescent="0.25">
      <c r="B83" s="4" t="s">
        <v>2</v>
      </c>
      <c r="C83" s="33">
        <f>0.5575*C53</f>
        <v>7.8049999999999997</v>
      </c>
      <c r="D83" s="36"/>
    </row>
    <row r="84" spans="2:7" ht="13.5" thickBot="1" x14ac:dyDescent="0.25">
      <c r="B84" s="37" t="s">
        <v>42</v>
      </c>
      <c r="C84" s="33">
        <f>(1+11.3%)^(nje/365)*((C44/(1+11.3%)^(E44/365))+(C45/(1+11.3%)^(E45/365))+(C46/(1+11.3%)^(E46/365))+C47/(1+11.3%)^(E47/365))</f>
        <v>30.023576286995052</v>
      </c>
      <c r="D84" s="36"/>
    </row>
    <row r="85" spans="2:7" ht="13.5" thickBot="1" x14ac:dyDescent="0.25">
      <c r="B85" s="38"/>
      <c r="C85" s="39"/>
      <c r="D85" s="40"/>
    </row>
    <row r="86" spans="2:7" ht="13.5" thickBot="1" x14ac:dyDescent="0.25">
      <c r="B86" s="4" t="s">
        <v>32</v>
      </c>
      <c r="C86" s="57">
        <f>MAX(C53,C83+(C84-C83)*C82)</f>
        <v>24.436887396723918</v>
      </c>
      <c r="D86" s="32"/>
    </row>
    <row r="87" spans="2:7" x14ac:dyDescent="0.2">
      <c r="B87" s="32"/>
      <c r="C87" s="32"/>
      <c r="D87" s="41"/>
    </row>
    <row r="88" spans="2:7" x14ac:dyDescent="0.2">
      <c r="B88" s="32"/>
      <c r="C88" s="32"/>
      <c r="D88" s="32"/>
    </row>
    <row r="90" spans="2:7" ht="13.5" thickBot="1" x14ac:dyDescent="0.25"/>
    <row r="91" spans="2:7" ht="13.5" thickBot="1" x14ac:dyDescent="0.25">
      <c r="B91" s="3" t="s">
        <v>8</v>
      </c>
      <c r="C91" s="4" t="s">
        <v>9</v>
      </c>
      <c r="D91" s="4" t="s">
        <v>45</v>
      </c>
      <c r="E91" s="4" t="s">
        <v>10</v>
      </c>
      <c r="F91" s="42" t="s">
        <v>33</v>
      </c>
      <c r="G91" s="42" t="s">
        <v>34</v>
      </c>
    </row>
    <row r="92" spans="2:7" x14ac:dyDescent="0.2">
      <c r="B92" s="6">
        <v>41791</v>
      </c>
      <c r="C92" s="7">
        <v>2.375</v>
      </c>
      <c r="D92" s="8">
        <v>0</v>
      </c>
      <c r="E92" s="9">
        <f>B92-C56</f>
        <v>0</v>
      </c>
      <c r="F92" s="43">
        <f>+C92/(1+TRIinv)^(E92/365)</f>
        <v>2.375</v>
      </c>
      <c r="G92" s="43">
        <f>D92/(1+TRIinv)^(E92/365)</f>
        <v>0</v>
      </c>
    </row>
    <row r="93" spans="2:7" x14ac:dyDescent="0.2">
      <c r="B93" s="6">
        <v>42156</v>
      </c>
      <c r="C93" s="7">
        <v>2.375</v>
      </c>
      <c r="D93" s="8">
        <v>0</v>
      </c>
      <c r="E93" s="11">
        <f>B93-C56</f>
        <v>365</v>
      </c>
      <c r="F93" s="44">
        <f>+C93/(1+TRIinv)^(E93/365)</f>
        <v>2.1956180086900248</v>
      </c>
      <c r="G93" s="44">
        <f>D93/(1+TRIinv)^(E93/365)</f>
        <v>0</v>
      </c>
    </row>
    <row r="94" spans="2:7" x14ac:dyDescent="0.2">
      <c r="B94" s="6">
        <v>42370</v>
      </c>
      <c r="C94" s="7">
        <v>4.75</v>
      </c>
      <c r="D94" s="8">
        <v>0</v>
      </c>
      <c r="E94" s="11">
        <f>B94-C56</f>
        <v>579</v>
      </c>
      <c r="F94" s="44">
        <f>+C94/(1+TRIinv)^(E94/365)</f>
        <v>4.1936279578019144</v>
      </c>
      <c r="G94" s="44">
        <f>D94/(1+TRIinv)^(E94/365)</f>
        <v>0</v>
      </c>
    </row>
    <row r="95" spans="2:7" x14ac:dyDescent="0.2">
      <c r="B95" s="6">
        <v>43252</v>
      </c>
      <c r="C95" s="7">
        <v>4.5</v>
      </c>
      <c r="D95" s="8">
        <v>0</v>
      </c>
      <c r="E95" s="11">
        <f>B95-C56</f>
        <v>1461</v>
      </c>
      <c r="F95" s="44">
        <f>+C95/(1+TRIinv)^(E95/365)</f>
        <v>3.2861830525043625</v>
      </c>
      <c r="G95" s="44">
        <f>D95/(1+TRIinv)^(E95/365)</f>
        <v>0</v>
      </c>
    </row>
    <row r="96" spans="2:7" x14ac:dyDescent="0.2">
      <c r="B96" s="6">
        <v>43831</v>
      </c>
      <c r="C96" s="12">
        <v>0</v>
      </c>
      <c r="D96" s="13">
        <v>0.4</v>
      </c>
      <c r="E96" s="11">
        <f>B96-C56</f>
        <v>2040</v>
      </c>
      <c r="F96" s="44">
        <f>+C96/(1+TRIinv)^(E96/365)</f>
        <v>0</v>
      </c>
      <c r="G96" s="44">
        <f>D96/(1+TRIinv)^(E96/365)</f>
        <v>0.25789060347952525</v>
      </c>
    </row>
    <row r="97" spans="2:7" x14ac:dyDescent="0.2">
      <c r="B97" s="6">
        <v>44197</v>
      </c>
      <c r="C97" s="12">
        <v>0</v>
      </c>
      <c r="D97" s="13">
        <v>0.6</v>
      </c>
      <c r="E97" s="11">
        <f>B97-C56</f>
        <v>2406</v>
      </c>
      <c r="F97" s="44">
        <f>+C97/(1+TRIinv)^(E97/365)</f>
        <v>0</v>
      </c>
      <c r="G97" s="44">
        <f>D97/(1+TRIinv)^(E97/365)</f>
        <v>0.35754153836850794</v>
      </c>
    </row>
    <row r="98" spans="2:7" x14ac:dyDescent="0.2">
      <c r="B98" s="6">
        <v>44562</v>
      </c>
      <c r="C98" s="12">
        <v>0</v>
      </c>
      <c r="D98" s="13">
        <v>1</v>
      </c>
      <c r="E98" s="11">
        <f>B98-C56</f>
        <v>2771</v>
      </c>
      <c r="F98" s="44">
        <f>+C98/(1+TRIinv)^(E98/365)</f>
        <v>0</v>
      </c>
      <c r="G98" s="44">
        <f>D98/(1+TRIinv)^(E98/365)</f>
        <v>0.55089448455903967</v>
      </c>
    </row>
    <row r="99" spans="2:7" x14ac:dyDescent="0.2">
      <c r="B99" s="6">
        <v>44927</v>
      </c>
      <c r="C99" s="12">
        <v>0</v>
      </c>
      <c r="D99" s="13">
        <v>1</v>
      </c>
      <c r="E99" s="11">
        <f>B99-C56</f>
        <v>3136</v>
      </c>
      <c r="F99" s="44">
        <f>+C99/(1+TRIinv)^(E99/365)</f>
        <v>0</v>
      </c>
      <c r="G99" s="44">
        <f>D99/(1+TRIinv)^(E99/365)</f>
        <v>0.50928583207824685</v>
      </c>
    </row>
    <row r="100" spans="2:7" ht="13.5" thickBot="1" x14ac:dyDescent="0.25">
      <c r="B100" s="6">
        <v>45292</v>
      </c>
      <c r="C100" s="12">
        <v>0</v>
      </c>
      <c r="D100" s="8">
        <v>0.5</v>
      </c>
      <c r="E100" s="14">
        <f>B100-C56</f>
        <v>3501</v>
      </c>
      <c r="F100" s="45">
        <f t="shared" ref="F93:F100" si="1">+C100/(1+$C$104)^(E100/365)</f>
        <v>0</v>
      </c>
      <c r="G100" s="44">
        <f>D100/(1+TRIinv)^(E100/365)</f>
        <v>0.23540992515403847</v>
      </c>
    </row>
    <row r="101" spans="2:7" ht="13.5" thickBot="1" x14ac:dyDescent="0.25">
      <c r="B101" s="3" t="s">
        <v>11</v>
      </c>
      <c r="C101" s="15">
        <f>SUM(C92:C100)</f>
        <v>14</v>
      </c>
      <c r="D101" s="16">
        <f>SUM(D92:D100)</f>
        <v>3.5</v>
      </c>
      <c r="E101" s="17"/>
      <c r="F101" s="17"/>
      <c r="G101" s="17"/>
    </row>
    <row r="103" spans="2:7" ht="13.5" thickBot="1" x14ac:dyDescent="0.25">
      <c r="C103" s="2" t="s">
        <v>43</v>
      </c>
      <c r="E103" s="2" t="s">
        <v>44</v>
      </c>
    </row>
    <row r="104" spans="2:7" ht="13.5" thickBot="1" x14ac:dyDescent="0.25">
      <c r="B104" s="4" t="s">
        <v>35</v>
      </c>
      <c r="C104" s="58">
        <v>8.1671365035800678E-2</v>
      </c>
      <c r="E104" s="54">
        <f>ROUND(C104,4)</f>
        <v>8.1699999999999995E-2</v>
      </c>
      <c r="F104" s="47"/>
      <c r="G104" s="47"/>
    </row>
    <row r="105" spans="2:7" ht="19.5" customHeight="1" x14ac:dyDescent="0.2">
      <c r="B105" s="2" t="s">
        <v>36</v>
      </c>
      <c r="C105" s="46">
        <f>SUM(F92:F100)</f>
        <v>12.050429018996301</v>
      </c>
    </row>
    <row r="106" spans="2:7" ht="16.5" customHeight="1" x14ac:dyDescent="0.2">
      <c r="B106" s="2" t="s">
        <v>37</v>
      </c>
      <c r="C106" s="46">
        <f>C86/(1+C104)^(nje/365)</f>
        <v>12.05038904912535</v>
      </c>
    </row>
    <row r="107" spans="2:7" x14ac:dyDescent="0.2">
      <c r="B107" s="2" t="s">
        <v>38</v>
      </c>
      <c r="C107" s="56">
        <f>C105-C106</f>
        <v>3.9969870950784525E-5</v>
      </c>
    </row>
    <row r="109" spans="2:7" x14ac:dyDescent="0.2">
      <c r="B109" s="2" t="s">
        <v>39</v>
      </c>
      <c r="C109" s="46">
        <f>SUM(G92:G100)</f>
        <v>1.9110223836393581</v>
      </c>
    </row>
    <row r="110" spans="2:7" ht="13.5" thickBot="1" x14ac:dyDescent="0.25"/>
    <row r="111" spans="2:7" ht="13.5" thickBot="1" x14ac:dyDescent="0.25">
      <c r="B111" s="2" t="s">
        <v>4</v>
      </c>
      <c r="C111" s="57">
        <f>((1+TRIinv)^(NJP/365))*(C105-C109)</f>
        <v>22.251596073826786</v>
      </c>
      <c r="G111" s="47"/>
    </row>
    <row r="112" spans="2:7" ht="13.5" thickBot="1" x14ac:dyDescent="0.25"/>
    <row r="113" spans="2:3" ht="13.5" thickBot="1" x14ac:dyDescent="0.25">
      <c r="B113" s="27" t="s">
        <v>40</v>
      </c>
      <c r="C113" s="28">
        <f>C111*1000000</f>
        <v>22251596.073826786</v>
      </c>
    </row>
    <row r="116" spans="2:3" x14ac:dyDescent="0.2">
      <c r="C116" s="59"/>
    </row>
    <row r="118" spans="2:3" x14ac:dyDescent="0.2">
      <c r="B118" s="55"/>
    </row>
  </sheetData>
  <pageMargins left="0.7" right="0.7" top="0.75" bottom="0.75" header="0.3" footer="0.3"/>
  <pageSetup paperSize="9" scale="5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Exemples</vt:lpstr>
      <vt:lpstr>Feuil1</vt:lpstr>
      <vt:lpstr>Exemples!nje</vt:lpstr>
      <vt:lpstr>Exemples!NJP</vt:lpstr>
      <vt:lpstr>Exemples!TRIinv</vt:lpstr>
      <vt:lpstr>Exemples!Zone_d_impression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ALLIER</dc:creator>
  <cp:lastModifiedBy>Julien Mougel</cp:lastModifiedBy>
  <cp:lastPrinted>2014-01-30T12:13:48Z</cp:lastPrinted>
  <dcterms:created xsi:type="dcterms:W3CDTF">2013-02-19T15:25:18Z</dcterms:created>
  <dcterms:modified xsi:type="dcterms:W3CDTF">2014-01-30T14:08:56Z</dcterms:modified>
</cp:coreProperties>
</file>